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8145" activeTab="2"/>
  </bookViews>
  <sheets>
    <sheet name="Mean dan Modus" sheetId="1" r:id="rId1"/>
    <sheet name="Median_Kuartil_SD" sheetId="2" r:id="rId2"/>
    <sheet name="Homogen_Normalitas_Linear" sheetId="3" r:id="rId3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136" i="3" l="1"/>
  <c r="K136" i="3"/>
  <c r="H136" i="3"/>
  <c r="S134" i="3"/>
  <c r="Q134" i="3"/>
  <c r="O134" i="3"/>
  <c r="L134" i="3"/>
  <c r="I134" i="3"/>
  <c r="S133" i="3"/>
  <c r="Q133" i="3"/>
  <c r="O133" i="3"/>
  <c r="L133" i="3"/>
  <c r="I133" i="3"/>
  <c r="S132" i="3"/>
  <c r="Q132" i="3"/>
  <c r="O132" i="3"/>
  <c r="L132" i="3"/>
  <c r="I132" i="3"/>
  <c r="S131" i="3"/>
  <c r="Q131" i="3"/>
  <c r="O131" i="3"/>
  <c r="L131" i="3"/>
  <c r="I131" i="3"/>
  <c r="S130" i="3"/>
  <c r="Q130" i="3"/>
  <c r="O130" i="3"/>
  <c r="L130" i="3"/>
  <c r="I130" i="3"/>
  <c r="S129" i="3"/>
  <c r="Q129" i="3"/>
  <c r="O129" i="3"/>
  <c r="L129" i="3"/>
  <c r="I129" i="3"/>
  <c r="S128" i="3"/>
  <c r="Q128" i="3"/>
  <c r="O128" i="3"/>
  <c r="L128" i="3"/>
  <c r="I128" i="3"/>
  <c r="S127" i="3"/>
  <c r="Q127" i="3"/>
  <c r="O127" i="3"/>
  <c r="L127" i="3"/>
  <c r="I127" i="3"/>
  <c r="S126" i="3"/>
  <c r="Q126" i="3"/>
  <c r="O126" i="3"/>
  <c r="L126" i="3"/>
  <c r="I126" i="3"/>
  <c r="S125" i="3"/>
  <c r="Q125" i="3"/>
  <c r="O125" i="3"/>
  <c r="L125" i="3"/>
  <c r="I125" i="3"/>
  <c r="S124" i="3"/>
  <c r="Q124" i="3"/>
  <c r="O124" i="3"/>
  <c r="L124" i="3"/>
  <c r="I124" i="3"/>
  <c r="S123" i="3"/>
  <c r="Q123" i="3"/>
  <c r="O123" i="3"/>
  <c r="L123" i="3"/>
  <c r="I123" i="3"/>
  <c r="S122" i="3"/>
  <c r="Q122" i="3"/>
  <c r="O122" i="3"/>
  <c r="L122" i="3"/>
  <c r="I122" i="3"/>
  <c r="G122" i="3"/>
  <c r="G123" i="3" s="1"/>
  <c r="G124" i="3" s="1"/>
  <c r="G125" i="3" s="1"/>
  <c r="G126" i="3" s="1"/>
  <c r="G127" i="3" s="1"/>
  <c r="G128" i="3" s="1"/>
  <c r="G129" i="3" s="1"/>
  <c r="G130" i="3" s="1"/>
  <c r="G131" i="3" s="1"/>
  <c r="G132" i="3" s="1"/>
  <c r="G133" i="3" s="1"/>
  <c r="G134" i="3" s="1"/>
  <c r="S121" i="3"/>
  <c r="Q121" i="3"/>
  <c r="O121" i="3"/>
  <c r="L121" i="3"/>
  <c r="L136" i="3" s="1"/>
  <c r="I121" i="3"/>
  <c r="G121" i="3"/>
  <c r="S120" i="3"/>
  <c r="S136" i="3" s="1"/>
  <c r="Q120" i="3"/>
  <c r="Q136" i="3" s="1"/>
  <c r="O120" i="3"/>
  <c r="O136" i="3" s="1"/>
  <c r="L120" i="3"/>
  <c r="I120" i="3"/>
  <c r="I136" i="3" s="1"/>
  <c r="D103" i="3"/>
  <c r="D104" i="3"/>
  <c r="D105" i="3"/>
  <c r="D106" i="3"/>
  <c r="D107" i="3"/>
  <c r="C101" i="3"/>
  <c r="C100" i="3"/>
  <c r="C99" i="3"/>
  <c r="C98" i="3"/>
  <c r="C97" i="3"/>
  <c r="E95" i="3"/>
  <c r="D95" i="3"/>
  <c r="C95" i="3"/>
  <c r="F84" i="3"/>
  <c r="E85" i="3"/>
  <c r="E86" i="3"/>
  <c r="E87" i="3"/>
  <c r="E88" i="3"/>
  <c r="C79" i="3"/>
  <c r="B51" i="3"/>
  <c r="B52" i="3"/>
  <c r="E161" i="3" l="1"/>
  <c r="E156" i="3"/>
  <c r="E154" i="3"/>
  <c r="E155" i="3" s="1"/>
  <c r="E157" i="3" s="1"/>
  <c r="C161" i="3" s="1"/>
  <c r="E136" i="3"/>
  <c r="E133" i="3"/>
  <c r="D131" i="3"/>
  <c r="D132" i="3" s="1"/>
  <c r="E135" i="3" s="1"/>
  <c r="M19" i="3"/>
  <c r="K19" i="3"/>
  <c r="M4" i="3"/>
  <c r="M5" i="3"/>
  <c r="M6" i="3"/>
  <c r="M7" i="3"/>
  <c r="M8" i="3"/>
  <c r="M9" i="3"/>
  <c r="M10" i="3"/>
  <c r="M11" i="3"/>
  <c r="M12" i="3"/>
  <c r="M13" i="3"/>
  <c r="M14" i="3"/>
  <c r="M15" i="3"/>
  <c r="M16" i="3"/>
  <c r="M17" i="3"/>
  <c r="M3" i="3"/>
  <c r="K4" i="3"/>
  <c r="K5" i="3"/>
  <c r="K6" i="3"/>
  <c r="K7" i="3"/>
  <c r="K8" i="3"/>
  <c r="K9" i="3"/>
  <c r="K10" i="3"/>
  <c r="K11" i="3"/>
  <c r="K12" i="3"/>
  <c r="K13" i="3"/>
  <c r="K14" i="3"/>
  <c r="K15" i="3"/>
  <c r="K16" i="3"/>
  <c r="K17" i="3"/>
  <c r="K3" i="3"/>
  <c r="D130" i="3"/>
  <c r="E134" i="3" l="1"/>
  <c r="A123" i="3"/>
  <c r="B119" i="3"/>
  <c r="G116" i="3"/>
  <c r="C90" i="3"/>
  <c r="D89" i="3"/>
  <c r="E89" i="3"/>
  <c r="F89" i="3"/>
  <c r="G85" i="3"/>
  <c r="G86" i="3"/>
  <c r="G87" i="3"/>
  <c r="G88" i="3"/>
  <c r="G84" i="3"/>
  <c r="F85" i="3"/>
  <c r="F86" i="3"/>
  <c r="F87" i="3"/>
  <c r="F88" i="3"/>
  <c r="E84" i="3"/>
  <c r="C89" i="3"/>
  <c r="C80" i="3"/>
  <c r="C81" i="3" s="1"/>
  <c r="B50" i="3"/>
  <c r="B49" i="3"/>
  <c r="E46" i="3"/>
  <c r="B46" i="3"/>
  <c r="E44" i="3"/>
  <c r="E45" i="3"/>
  <c r="E43" i="3"/>
  <c r="D44" i="3"/>
  <c r="D45" i="3"/>
  <c r="D43" i="3"/>
  <c r="C45" i="3"/>
  <c r="C44" i="3"/>
  <c r="C43" i="3"/>
  <c r="C38" i="3"/>
  <c r="C36" i="3"/>
  <c r="I19" i="3"/>
  <c r="H19" i="3"/>
  <c r="I4" i="3"/>
  <c r="I5" i="3"/>
  <c r="I6" i="3"/>
  <c r="I7" i="3"/>
  <c r="I8" i="3"/>
  <c r="I9" i="3"/>
  <c r="I10" i="3"/>
  <c r="I11" i="3"/>
  <c r="I12" i="3"/>
  <c r="I13" i="3"/>
  <c r="I14" i="3"/>
  <c r="I15" i="3"/>
  <c r="I16" i="3"/>
  <c r="I17" i="3"/>
  <c r="I3" i="3"/>
  <c r="C33" i="3"/>
  <c r="C34" i="3" s="1"/>
  <c r="C31" i="3"/>
  <c r="F19" i="3"/>
  <c r="E19" i="3"/>
  <c r="F4" i="3"/>
  <c r="F5" i="3"/>
  <c r="F6" i="3"/>
  <c r="F7" i="3"/>
  <c r="F8" i="3"/>
  <c r="F9" i="3"/>
  <c r="F10" i="3"/>
  <c r="F11" i="3"/>
  <c r="F12" i="3"/>
  <c r="F13" i="3"/>
  <c r="F14" i="3"/>
  <c r="F15" i="3"/>
  <c r="F16" i="3"/>
  <c r="F17" i="3"/>
  <c r="F3" i="3"/>
  <c r="C29" i="3"/>
  <c r="C28" i="3"/>
  <c r="C26" i="3"/>
  <c r="C19" i="3"/>
  <c r="C4" i="3"/>
  <c r="C5" i="3"/>
  <c r="C6" i="3"/>
  <c r="C7" i="3"/>
  <c r="C8" i="3"/>
  <c r="C9" i="3"/>
  <c r="C10" i="3"/>
  <c r="C11" i="3"/>
  <c r="C12" i="3"/>
  <c r="C13" i="3"/>
  <c r="C14" i="3"/>
  <c r="C15" i="3"/>
  <c r="C16" i="3"/>
  <c r="C17" i="3"/>
  <c r="C3" i="3"/>
  <c r="B19" i="3"/>
  <c r="A16" i="3"/>
  <c r="A17" i="3"/>
  <c r="A12" i="3"/>
  <c r="A13" i="3"/>
  <c r="A14" i="3"/>
  <c r="A15" i="3"/>
  <c r="A5" i="3"/>
  <c r="A6" i="3"/>
  <c r="A7" i="3"/>
  <c r="A8" i="3"/>
  <c r="A9" i="3" s="1"/>
  <c r="A10" i="3" s="1"/>
  <c r="A11" i="3" s="1"/>
  <c r="A4" i="3"/>
  <c r="G89" i="3" l="1"/>
  <c r="C91" i="3" s="1"/>
  <c r="C39" i="3"/>
  <c r="L47" i="2"/>
  <c r="L46" i="2"/>
  <c r="L45" i="2"/>
  <c r="O35" i="2"/>
  <c r="O4" i="2"/>
  <c r="O5" i="2"/>
  <c r="O6" i="2"/>
  <c r="O7" i="2"/>
  <c r="O8" i="2"/>
  <c r="O9" i="2"/>
  <c r="O10" i="2"/>
  <c r="O11" i="2"/>
  <c r="O12" i="2"/>
  <c r="O13" i="2"/>
  <c r="O14" i="2"/>
  <c r="O15" i="2"/>
  <c r="O16" i="2"/>
  <c r="O17" i="2"/>
  <c r="O18" i="2"/>
  <c r="O19" i="2"/>
  <c r="O20" i="2"/>
  <c r="O21" i="2"/>
  <c r="O22" i="2"/>
  <c r="O23" i="2"/>
  <c r="O24" i="2"/>
  <c r="O25" i="2"/>
  <c r="O26" i="2"/>
  <c r="O27" i="2"/>
  <c r="O28" i="2"/>
  <c r="O29" i="2"/>
  <c r="O30" i="2"/>
  <c r="O31" i="2"/>
  <c r="O32" i="2"/>
  <c r="O33" i="2"/>
  <c r="O34" i="2"/>
  <c r="O3" i="2"/>
  <c r="N35" i="2"/>
  <c r="N4" i="2"/>
  <c r="N5" i="2"/>
  <c r="N6" i="2"/>
  <c r="N7" i="2"/>
  <c r="N8" i="2"/>
  <c r="N9" i="2"/>
  <c r="N10" i="2"/>
  <c r="N11" i="2"/>
  <c r="N12" i="2"/>
  <c r="N13" i="2"/>
  <c r="N14" i="2"/>
  <c r="N15" i="2"/>
  <c r="N16" i="2"/>
  <c r="N17" i="2"/>
  <c r="N18" i="2"/>
  <c r="N19" i="2"/>
  <c r="N20" i="2"/>
  <c r="N21" i="2"/>
  <c r="N22" i="2"/>
  <c r="N23" i="2"/>
  <c r="N24" i="2"/>
  <c r="N25" i="2"/>
  <c r="N26" i="2"/>
  <c r="N27" i="2"/>
  <c r="N28" i="2"/>
  <c r="N29" i="2"/>
  <c r="N30" i="2"/>
  <c r="N31" i="2"/>
  <c r="N32" i="2"/>
  <c r="N33" i="2"/>
  <c r="N34" i="2"/>
  <c r="N3" i="2"/>
  <c r="M3" i="2"/>
  <c r="L41" i="2"/>
  <c r="L40" i="2"/>
  <c r="L39" i="2"/>
  <c r="K35" i="2"/>
  <c r="L35" i="2"/>
  <c r="L4" i="2"/>
  <c r="L5" i="2"/>
  <c r="L6" i="2"/>
  <c r="L7" i="2"/>
  <c r="L8" i="2"/>
  <c r="L9" i="2"/>
  <c r="L10" i="2"/>
  <c r="L11" i="2"/>
  <c r="L12" i="2"/>
  <c r="L13" i="2"/>
  <c r="L14" i="2"/>
  <c r="L15" i="2"/>
  <c r="L16" i="2"/>
  <c r="L17" i="2"/>
  <c r="L18" i="2"/>
  <c r="L19" i="2"/>
  <c r="L20" i="2"/>
  <c r="L21" i="2"/>
  <c r="L22" i="2"/>
  <c r="L23" i="2"/>
  <c r="L24" i="2"/>
  <c r="L25" i="2"/>
  <c r="L26" i="2"/>
  <c r="L27" i="2"/>
  <c r="L28" i="2"/>
  <c r="L29" i="2"/>
  <c r="L30" i="2"/>
  <c r="L31" i="2"/>
  <c r="L32" i="2"/>
  <c r="L33" i="2"/>
  <c r="L34" i="2"/>
  <c r="L3" i="2"/>
  <c r="J33" i="2"/>
  <c r="J34" i="2"/>
  <c r="J28" i="2"/>
  <c r="J29" i="2"/>
  <c r="J30" i="2" s="1"/>
  <c r="J31" i="2" s="1"/>
  <c r="J32" i="2" s="1"/>
  <c r="J20" i="2"/>
  <c r="J21" i="2"/>
  <c r="J22" i="2"/>
  <c r="J23" i="2"/>
  <c r="J24" i="2"/>
  <c r="J25" i="2" s="1"/>
  <c r="J26" i="2" s="1"/>
  <c r="J27" i="2" s="1"/>
  <c r="J5" i="2"/>
  <c r="J6" i="2"/>
  <c r="J7" i="2"/>
  <c r="J8" i="2"/>
  <c r="J9" i="2" s="1"/>
  <c r="J10" i="2" s="1"/>
  <c r="J11" i="2" s="1"/>
  <c r="J12" i="2" s="1"/>
  <c r="J13" i="2" s="1"/>
  <c r="J14" i="2" s="1"/>
  <c r="J15" i="2" s="1"/>
  <c r="J16" i="2" s="1"/>
  <c r="J17" i="2" s="1"/>
  <c r="J18" i="2" s="1"/>
  <c r="J19" i="2" s="1"/>
  <c r="J4" i="2"/>
  <c r="G44" i="2"/>
  <c r="G46" i="2"/>
  <c r="G45" i="2"/>
  <c r="G42" i="2"/>
  <c r="G41" i="2"/>
  <c r="G40" i="2"/>
  <c r="G30" i="2"/>
  <c r="G29" i="2"/>
  <c r="G28" i="2"/>
  <c r="G26" i="2"/>
  <c r="G25" i="2"/>
  <c r="G24" i="2"/>
  <c r="G19" i="2"/>
  <c r="G18" i="2"/>
  <c r="G17" i="2"/>
  <c r="G16" i="2"/>
  <c r="G15" i="2"/>
  <c r="G14" i="2"/>
  <c r="C11" i="2"/>
  <c r="G95" i="3" l="1"/>
  <c r="F95" i="3"/>
  <c r="H95" i="3"/>
</calcChain>
</file>

<file path=xl/sharedStrings.xml><?xml version="1.0" encoding="utf-8"?>
<sst xmlns="http://schemas.openxmlformats.org/spreadsheetml/2006/main" count="207" uniqueCount="168">
  <si>
    <t>Variabel disiplin pegawai Tianshi</t>
  </si>
  <si>
    <t>No</t>
  </si>
  <si>
    <t>Kelas Interval</t>
  </si>
  <si>
    <t>f</t>
  </si>
  <si>
    <t>27-33</t>
  </si>
  <si>
    <t>34-40</t>
  </si>
  <si>
    <t>41-47</t>
  </si>
  <si>
    <t>48-54</t>
  </si>
  <si>
    <t>55-61</t>
  </si>
  <si>
    <t>62-68</t>
  </si>
  <si>
    <t>69-75</t>
  </si>
  <si>
    <t>Nilai interval yang mengandung unsur median =</t>
  </si>
  <si>
    <t>Batas bawah kelas median Bb =</t>
  </si>
  <si>
    <t>Panjang kelas median P =</t>
  </si>
  <si>
    <t>Frekuensi kelas median f =</t>
  </si>
  <si>
    <t>Jumlah frekuensi kumulatif dibawah kelas median Jf =</t>
  </si>
  <si>
    <t>Nilai median =</t>
  </si>
  <si>
    <t>Langkah Median:</t>
  </si>
  <si>
    <t>Langkah Kuartil</t>
  </si>
  <si>
    <t>Kelas interval mengandung K1 K2 K3</t>
  </si>
  <si>
    <t xml:space="preserve">K1 = </t>
  </si>
  <si>
    <t>K2</t>
  </si>
  <si>
    <t>K3 =</t>
  </si>
  <si>
    <t>K2 =</t>
  </si>
  <si>
    <t>Batas bawah kuartil Bb</t>
  </si>
  <si>
    <t>Bb K2 =</t>
  </si>
  <si>
    <t>Bb K3 =</t>
  </si>
  <si>
    <t>Bb K1 =</t>
  </si>
  <si>
    <t>K1</t>
  </si>
  <si>
    <t>K3</t>
  </si>
  <si>
    <t>Panjang kelas Kuartil P</t>
  </si>
  <si>
    <t>Frekuensi kelas kuartil</t>
  </si>
  <si>
    <t>Jumlah semua frekuensi kumulatif di bawah kelas kuartil</t>
  </si>
  <si>
    <t>P K1 =</t>
  </si>
  <si>
    <t>P K2 =</t>
  </si>
  <si>
    <t>P K3 =</t>
  </si>
  <si>
    <t>f K1 =</t>
  </si>
  <si>
    <t xml:space="preserve">f K2 = </t>
  </si>
  <si>
    <t>f K3 =</t>
  </si>
  <si>
    <t>Jf K1 =</t>
  </si>
  <si>
    <t>Jf K2 =</t>
  </si>
  <si>
    <t>Jf K3 =</t>
  </si>
  <si>
    <t>Nilai Kuartil</t>
  </si>
  <si>
    <t xml:space="preserve">K2 = </t>
  </si>
  <si>
    <t xml:space="preserve">K3 = </t>
  </si>
  <si>
    <t>K1= 25% pekerja mendapatkan Nilai kedisiplinan 43,73</t>
  </si>
  <si>
    <t>K2= 50% pekerja mendapatkan Nili Kedisiplinan 51,70</t>
  </si>
  <si>
    <t>K3 = 75% pekerja mendapatkan nilai kedisiplinan 59,88</t>
  </si>
  <si>
    <t>Jawaban Soal (b) halaman 135</t>
  </si>
  <si>
    <t>Jawaban Soal (g) halaman 136</t>
  </si>
  <si>
    <t>X</t>
  </si>
  <si>
    <t>X2</t>
  </si>
  <si>
    <t xml:space="preserve">Mencari Standar Deviasi </t>
  </si>
  <si>
    <t>Rumus 1</t>
  </si>
  <si>
    <t>(EX)^2/n</t>
  </si>
  <si>
    <t>n-1</t>
  </si>
  <si>
    <t>maka (s) =</t>
  </si>
  <si>
    <t>Penyimpangannya Rp. 87762</t>
  </si>
  <si>
    <t>Rumus 2</t>
  </si>
  <si>
    <t>Rata-rata x</t>
  </si>
  <si>
    <t>[x] = (X-x)</t>
  </si>
  <si>
    <t>[x]2</t>
  </si>
  <si>
    <t>rata-rata =</t>
  </si>
  <si>
    <t xml:space="preserve">E x2 = </t>
  </si>
  <si>
    <t>Data Rekrutmen, Promosi, Hasil penjualan</t>
  </si>
  <si>
    <t>N0</t>
  </si>
  <si>
    <t>X1</t>
  </si>
  <si>
    <t>Y</t>
  </si>
  <si>
    <t>a = 0,05 uji satu pihak</t>
  </si>
  <si>
    <t>UJI HOMOGEN</t>
  </si>
  <si>
    <t>n</t>
  </si>
  <si>
    <t>EX1</t>
  </si>
  <si>
    <t>X1^2</t>
  </si>
  <si>
    <t>EX1^2</t>
  </si>
  <si>
    <t>standar deviasi (s) =</t>
  </si>
  <si>
    <t>Varians (SX1)=</t>
  </si>
  <si>
    <t>X2^2</t>
  </si>
  <si>
    <t>Varians (SX2)=</t>
  </si>
  <si>
    <t>Varians (SY)=</t>
  </si>
  <si>
    <t>Y^2</t>
  </si>
  <si>
    <t>EY</t>
  </si>
  <si>
    <t>EY^2</t>
  </si>
  <si>
    <t>EX2</t>
  </si>
  <si>
    <t>EX2^2</t>
  </si>
  <si>
    <t>1. Mencari Standar deviasi dan Varians masing-masing variabel</t>
  </si>
  <si>
    <t>2. Membuat data dalam tabel untuk mengukur homogenitas</t>
  </si>
  <si>
    <t>Sampel</t>
  </si>
  <si>
    <t>db=n-1</t>
  </si>
  <si>
    <t>db x Log S^2</t>
  </si>
  <si>
    <t>Varians (S)</t>
  </si>
  <si>
    <t>Log Varians</t>
  </si>
  <si>
    <t>S=</t>
  </si>
  <si>
    <t>Log S=</t>
  </si>
  <si>
    <t>B=</t>
  </si>
  <si>
    <t>Xhitung=</t>
  </si>
  <si>
    <t>3. Menghitung Varians gabungan dan Xhitung</t>
  </si>
  <si>
    <t>4. membandingkan dengan tabel chi kuadrat</t>
  </si>
  <si>
    <t>a=0,05</t>
  </si>
  <si>
    <t>derajat kebebasan  3-1=2</t>
  </si>
  <si>
    <t xml:space="preserve">Xtabel = </t>
  </si>
  <si>
    <t>Xhitung &lt; Xtabel maka homogen</t>
  </si>
  <si>
    <t>UJI NORMALITAS</t>
  </si>
  <si>
    <t>Uji Normalitas Distribusi Data X1 Rekrutmen</t>
  </si>
  <si>
    <t xml:space="preserve">1. menentukan skor besar dan kecil </t>
  </si>
  <si>
    <t>3. BK</t>
  </si>
  <si>
    <t>2. rentangan R</t>
  </si>
  <si>
    <t>4. Panjang kelas P</t>
  </si>
  <si>
    <t>5. tabel</t>
  </si>
  <si>
    <t>no</t>
  </si>
  <si>
    <t>kelas inerval</t>
  </si>
  <si>
    <t>Xi</t>
  </si>
  <si>
    <t>Xi^2</t>
  </si>
  <si>
    <t>f.Xi</t>
  </si>
  <si>
    <t>f.Xi^2</t>
  </si>
  <si>
    <t>24-28</t>
  </si>
  <si>
    <t>29-33</t>
  </si>
  <si>
    <t>34-38</t>
  </si>
  <si>
    <t>39-43</t>
  </si>
  <si>
    <t>44-48</t>
  </si>
  <si>
    <t>6. rata2</t>
  </si>
  <si>
    <t>7. Simpangan baku</t>
  </si>
  <si>
    <t>8. Membuat daftar frekuensi yang diharapkan</t>
  </si>
  <si>
    <t xml:space="preserve">a. batas kelas </t>
  </si>
  <si>
    <t>b. Z score</t>
  </si>
  <si>
    <t>c. Luas pada Z tabel</t>
  </si>
  <si>
    <t>d. luas kelas interval</t>
  </si>
  <si>
    <t>e. Mencari fe (frekuensi yang diharapkan)</t>
  </si>
  <si>
    <t>Daftar fe</t>
  </si>
  <si>
    <t>Batas Kelas</t>
  </si>
  <si>
    <t>Z</t>
  </si>
  <si>
    <t>Luas 0-Z</t>
  </si>
  <si>
    <t>Luas tiap kelas</t>
  </si>
  <si>
    <t>fe</t>
  </si>
  <si>
    <t>fo</t>
  </si>
  <si>
    <t>9. Mencari chi kuadrat X^2</t>
  </si>
  <si>
    <t>X^2=</t>
  </si>
  <si>
    <t>10. Membandingkan dengan X^2 tabel</t>
  </si>
  <si>
    <t>X^2 hitung</t>
  </si>
  <si>
    <t>X^2 tabel</t>
  </si>
  <si>
    <t>a= 0,05</t>
  </si>
  <si>
    <t>db=k-3 = 2</t>
  </si>
  <si>
    <t>UJI LINIERITAS</t>
  </si>
  <si>
    <t>2. Jumlah Kuadrat Regresi [b|a)]</t>
  </si>
  <si>
    <t>1. Jumlah Kuadrat Regresi [a]</t>
  </si>
  <si>
    <t>X1Y</t>
  </si>
  <si>
    <t>X2Y</t>
  </si>
  <si>
    <t>EX1Y</t>
  </si>
  <si>
    <t>EX2Y</t>
  </si>
  <si>
    <t>3. Jumlah Kuadrat Residu</t>
  </si>
  <si>
    <t>4. Rata-rata Jumlah Kuadrat Regresi [a]</t>
  </si>
  <si>
    <t>5. Rata-rata Jumlah Kuadrat Regresi [b|a]</t>
  </si>
  <si>
    <t>6. Rata-rata Jumlah Kuadrat Residu</t>
  </si>
  <si>
    <t>7. Jumlah Kuadrat Error</t>
  </si>
  <si>
    <t>Variabel Y atas X1</t>
  </si>
  <si>
    <t>8. Jumlah Kuadrat Tuna cocok</t>
  </si>
  <si>
    <t>9. Rata-rata jumlah kuadrat tuna cocok</t>
  </si>
  <si>
    <t>Klp (K)</t>
  </si>
  <si>
    <t>10. Rata-rata Jumlah Kuadrat Error</t>
  </si>
  <si>
    <t>11. Fhitung</t>
  </si>
  <si>
    <t>12. Fhitung &lt;= Ftabel maka terima Ho linier</t>
  </si>
  <si>
    <t>13. Ftabel</t>
  </si>
  <si>
    <t>F(0,95) (9-2, 15-9)</t>
  </si>
  <si>
    <t>F(0,95) (7, 6)</t>
  </si>
  <si>
    <t>14. Bandingkan</t>
  </si>
  <si>
    <t>&lt;=</t>
  </si>
  <si>
    <r>
      <t xml:space="preserve">Kesimpulan= Y atas X1 </t>
    </r>
    <r>
      <rPr>
        <b/>
        <sz val="11"/>
        <color theme="1"/>
        <rFont val="Calibri"/>
        <family val="2"/>
        <scheme val="minor"/>
      </rPr>
      <t>Berpola Linier</t>
    </r>
  </si>
  <si>
    <t>&lt;</t>
  </si>
  <si>
    <t>Data X1 memiliki distribusi normal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</si>
</sst>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(* #,##0.00_);_(* \(#,##0.00\);_(* &quot;-&quot;??_);_(@_)"/>
    <numFmt numFmtId="164" formatCode="_(* #,##0_);_(* \(#,##0\);_(* &quot;-&quot;??_);_(@_)"/>
    <numFmt numFmtId="165" formatCode="0.000"/>
    <numFmt numFmtId="167" formatCode="0.00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2" fontId="0" fillId="0" borderId="0" xfId="0" applyNumberFormat="1"/>
    <xf numFmtId="0" fontId="2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Font="1"/>
    <xf numFmtId="43" fontId="0" fillId="0" borderId="0" xfId="1" applyFont="1"/>
    <xf numFmtId="164" fontId="0" fillId="0" borderId="0" xfId="1" applyNumberFormat="1" applyFont="1"/>
    <xf numFmtId="0" fontId="2" fillId="0" borderId="0" xfId="0" applyFont="1" applyAlignment="1">
      <alignment horizontal="left"/>
    </xf>
    <xf numFmtId="164" fontId="0" fillId="0" borderId="1" xfId="1" applyNumberFormat="1" applyFont="1" applyBorder="1" applyAlignment="1">
      <alignment horizontal="center"/>
    </xf>
    <xf numFmtId="164" fontId="0" fillId="0" borderId="1" xfId="1" applyNumberFormat="1" applyFont="1" applyBorder="1"/>
    <xf numFmtId="0" fontId="2" fillId="0" borderId="1" xfId="0" applyFont="1" applyBorder="1" applyAlignment="1">
      <alignment horizontal="center"/>
    </xf>
    <xf numFmtId="164" fontId="2" fillId="0" borderId="1" xfId="1" applyNumberFormat="1" applyFont="1" applyBorder="1"/>
    <xf numFmtId="0" fontId="0" fillId="0" borderId="0" xfId="0" applyAlignment="1">
      <alignment horizontal="left"/>
    </xf>
    <xf numFmtId="43" fontId="0" fillId="0" borderId="0" xfId="0" applyNumberFormat="1"/>
    <xf numFmtId="0" fontId="0" fillId="0" borderId="0" xfId="0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165" fontId="0" fillId="0" borderId="0" xfId="0" applyNumberFormat="1"/>
    <xf numFmtId="2" fontId="0" fillId="0" borderId="1" xfId="0" applyNumberFormat="1" applyBorder="1"/>
    <xf numFmtId="43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2" fillId="0" borderId="0" xfId="0" applyFont="1" applyFill="1" applyBorder="1" applyAlignment="1">
      <alignment horizontal="left" vertical="center"/>
    </xf>
    <xf numFmtId="43" fontId="0" fillId="0" borderId="0" xfId="0" applyNumberFormat="1" applyBorder="1" applyAlignment="1">
      <alignment horizontal="center"/>
    </xf>
    <xf numFmtId="2" fontId="0" fillId="0" borderId="0" xfId="0" applyNumberFormat="1" applyBorder="1" applyAlignment="1">
      <alignment horizontal="center"/>
    </xf>
    <xf numFmtId="0" fontId="0" fillId="0" borderId="0" xfId="0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3" fillId="0" borderId="0" xfId="0" applyFont="1"/>
    <xf numFmtId="0" fontId="2" fillId="0" borderId="1" xfId="0" applyFont="1" applyBorder="1"/>
    <xf numFmtId="0" fontId="2" fillId="0" borderId="0" xfId="0" applyFont="1" applyFill="1" applyBorder="1" applyAlignment="1">
      <alignment horizontal="center"/>
    </xf>
    <xf numFmtId="0" fontId="0" fillId="0" borderId="0" xfId="0" applyBorder="1"/>
    <xf numFmtId="0" fontId="0" fillId="0" borderId="1" xfId="0" applyFill="1" applyBorder="1"/>
    <xf numFmtId="167" fontId="0" fillId="0" borderId="0" xfId="0" applyNumberFormat="1"/>
    <xf numFmtId="0" fontId="0" fillId="0" borderId="2" xfId="0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76200</xdr:colOff>
      <xdr:row>139</xdr:row>
      <xdr:rowOff>161925</xdr:rowOff>
    </xdr:from>
    <xdr:to>
      <xdr:col>13</xdr:col>
      <xdr:colOff>216790</xdr:colOff>
      <xdr:row>149</xdr:row>
      <xdr:rowOff>146849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333875" y="26641425"/>
          <a:ext cx="4407790" cy="1889924"/>
        </a:xfrm>
        <a:prstGeom prst="rect">
          <a:avLst/>
        </a:prstGeom>
      </xdr:spPr>
    </xdr:pic>
    <xdr:clientData/>
  </xdr:twoCellAnchor>
  <xdr:twoCellAnchor editAs="oneCell">
    <xdr:from>
      <xdr:col>5</xdr:col>
      <xdr:colOff>466725</xdr:colOff>
      <xdr:row>149</xdr:row>
      <xdr:rowOff>104775</xdr:rowOff>
    </xdr:from>
    <xdr:to>
      <xdr:col>12</xdr:col>
      <xdr:colOff>485384</xdr:colOff>
      <xdr:row>164</xdr:row>
      <xdr:rowOff>149223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114800" y="28489275"/>
          <a:ext cx="4285859" cy="290194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22" sqref="D22"/>
    </sheetView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9"/>
  <sheetViews>
    <sheetView topLeftCell="A34" zoomScaleNormal="100" workbookViewId="0">
      <selection activeCell="L41" sqref="L41"/>
    </sheetView>
  </sheetViews>
  <sheetFormatPr defaultRowHeight="15" x14ac:dyDescent="0.25"/>
  <cols>
    <col min="2" max="2" width="13.140625" bestFit="1" customWidth="1"/>
    <col min="10" max="10" width="9.140625" style="18"/>
    <col min="11" max="11" width="16.28515625" style="12" bestFit="1" customWidth="1"/>
    <col min="12" max="12" width="18" style="12" bestFit="1" customWidth="1"/>
    <col min="13" max="13" width="11.5703125" bestFit="1" customWidth="1"/>
    <col min="14" max="14" width="12.28515625" bestFit="1" customWidth="1"/>
    <col min="15" max="15" width="19" bestFit="1" customWidth="1"/>
  </cols>
  <sheetData>
    <row r="1" spans="1:15" x14ac:dyDescent="0.25">
      <c r="A1" s="6" t="s">
        <v>48</v>
      </c>
      <c r="J1" s="13" t="s">
        <v>49</v>
      </c>
    </row>
    <row r="2" spans="1:15" x14ac:dyDescent="0.25">
      <c r="A2" t="s">
        <v>0</v>
      </c>
      <c r="J2" s="2" t="s">
        <v>1</v>
      </c>
      <c r="K2" s="14" t="s">
        <v>50</v>
      </c>
      <c r="L2" s="14" t="s">
        <v>51</v>
      </c>
      <c r="M2" s="8" t="s">
        <v>59</v>
      </c>
      <c r="N2" s="8" t="s">
        <v>60</v>
      </c>
      <c r="O2" s="8" t="s">
        <v>61</v>
      </c>
    </row>
    <row r="3" spans="1:15" x14ac:dyDescent="0.25">
      <c r="A3" s="2" t="s">
        <v>1</v>
      </c>
      <c r="B3" s="2" t="s">
        <v>2</v>
      </c>
      <c r="C3" s="2" t="s">
        <v>3</v>
      </c>
      <c r="J3" s="2">
        <v>1</v>
      </c>
      <c r="K3" s="15">
        <v>250000</v>
      </c>
      <c r="L3" s="15">
        <f>K3^2</f>
        <v>62500000000</v>
      </c>
      <c r="M3" s="11">
        <f>K35/J35</f>
        <v>353890.625</v>
      </c>
      <c r="N3" s="19">
        <f>K3-M3</f>
        <v>-103890.625</v>
      </c>
      <c r="O3" s="19">
        <f>N3^2</f>
        <v>10793261962.890625</v>
      </c>
    </row>
    <row r="4" spans="1:15" x14ac:dyDescent="0.25">
      <c r="A4" s="2">
        <v>1</v>
      </c>
      <c r="B4" s="2" t="s">
        <v>4</v>
      </c>
      <c r="C4" s="1">
        <v>1</v>
      </c>
      <c r="J4" s="2">
        <f>J3+1</f>
        <v>2</v>
      </c>
      <c r="K4" s="15">
        <v>250500</v>
      </c>
      <c r="L4" s="15">
        <f t="shared" ref="L4:L34" si="0">K4^2</f>
        <v>62750250000</v>
      </c>
      <c r="M4" s="11">
        <v>353890.625</v>
      </c>
      <c r="N4" s="19">
        <f t="shared" ref="N4:N34" si="1">K4-M4</f>
        <v>-103390.625</v>
      </c>
      <c r="O4" s="19">
        <f t="shared" ref="O4:O34" si="2">N4^2</f>
        <v>10689621337.890625</v>
      </c>
    </row>
    <row r="5" spans="1:15" x14ac:dyDescent="0.25">
      <c r="A5" s="2">
        <v>2</v>
      </c>
      <c r="B5" s="2" t="s">
        <v>5</v>
      </c>
      <c r="C5" s="1">
        <v>9</v>
      </c>
      <c r="J5" s="2">
        <f t="shared" ref="J5:J34" si="3">J4+1</f>
        <v>3</v>
      </c>
      <c r="K5" s="15">
        <v>350000</v>
      </c>
      <c r="L5" s="15">
        <f t="shared" si="0"/>
        <v>122500000000</v>
      </c>
      <c r="M5" s="11">
        <v>353890.625</v>
      </c>
      <c r="N5" s="19">
        <f t="shared" si="1"/>
        <v>-3890.625</v>
      </c>
      <c r="O5" s="19">
        <f t="shared" si="2"/>
        <v>15136962.890625</v>
      </c>
    </row>
    <row r="6" spans="1:15" x14ac:dyDescent="0.25">
      <c r="A6" s="2">
        <v>3</v>
      </c>
      <c r="B6" s="2" t="s">
        <v>6</v>
      </c>
      <c r="C6" s="1">
        <v>13</v>
      </c>
      <c r="D6" s="7" t="s">
        <v>28</v>
      </c>
      <c r="J6" s="2">
        <f t="shared" si="3"/>
        <v>4</v>
      </c>
      <c r="K6" s="15">
        <v>450000</v>
      </c>
      <c r="L6" s="15">
        <f t="shared" si="0"/>
        <v>202500000000</v>
      </c>
      <c r="M6" s="11">
        <v>353890.625</v>
      </c>
      <c r="N6" s="19">
        <f t="shared" si="1"/>
        <v>96109.375</v>
      </c>
      <c r="O6" s="19">
        <f t="shared" si="2"/>
        <v>9237011962.890625</v>
      </c>
    </row>
    <row r="7" spans="1:15" x14ac:dyDescent="0.25">
      <c r="A7" s="3">
        <v>4</v>
      </c>
      <c r="B7" s="3" t="s">
        <v>7</v>
      </c>
      <c r="C7" s="4">
        <v>15</v>
      </c>
      <c r="D7" s="7" t="s">
        <v>21</v>
      </c>
      <c r="J7" s="2">
        <f t="shared" si="3"/>
        <v>5</v>
      </c>
      <c r="K7" s="15">
        <v>250500</v>
      </c>
      <c r="L7" s="15">
        <f t="shared" si="0"/>
        <v>62750250000</v>
      </c>
      <c r="M7" s="11">
        <v>353890.625</v>
      </c>
      <c r="N7" s="19">
        <f t="shared" si="1"/>
        <v>-103390.625</v>
      </c>
      <c r="O7" s="19">
        <f t="shared" si="2"/>
        <v>10689621337.890625</v>
      </c>
    </row>
    <row r="8" spans="1:15" x14ac:dyDescent="0.25">
      <c r="A8" s="2">
        <v>5</v>
      </c>
      <c r="B8" s="2" t="s">
        <v>8</v>
      </c>
      <c r="C8" s="1">
        <v>13</v>
      </c>
      <c r="D8" s="7" t="s">
        <v>29</v>
      </c>
      <c r="J8" s="2">
        <f t="shared" si="3"/>
        <v>6</v>
      </c>
      <c r="K8" s="15">
        <v>250000</v>
      </c>
      <c r="L8" s="15">
        <f t="shared" si="0"/>
        <v>62500000000</v>
      </c>
      <c r="M8" s="11">
        <v>353890.625</v>
      </c>
      <c r="N8" s="19">
        <f t="shared" si="1"/>
        <v>-103890.625</v>
      </c>
      <c r="O8" s="19">
        <f t="shared" si="2"/>
        <v>10793261962.890625</v>
      </c>
    </row>
    <row r="9" spans="1:15" x14ac:dyDescent="0.25">
      <c r="A9" s="2">
        <v>6</v>
      </c>
      <c r="B9" s="2" t="s">
        <v>9</v>
      </c>
      <c r="C9" s="1">
        <v>11</v>
      </c>
      <c r="J9" s="2">
        <f t="shared" si="3"/>
        <v>7</v>
      </c>
      <c r="K9" s="15">
        <v>350500</v>
      </c>
      <c r="L9" s="15">
        <f t="shared" si="0"/>
        <v>122850250000</v>
      </c>
      <c r="M9" s="11">
        <v>353890.625</v>
      </c>
      <c r="N9" s="19">
        <f t="shared" si="1"/>
        <v>-3390.625</v>
      </c>
      <c r="O9" s="19">
        <f t="shared" si="2"/>
        <v>11496337.890625</v>
      </c>
    </row>
    <row r="10" spans="1:15" x14ac:dyDescent="0.25">
      <c r="A10" s="2">
        <v>7</v>
      </c>
      <c r="B10" s="2" t="s">
        <v>10</v>
      </c>
      <c r="C10" s="1">
        <v>2</v>
      </c>
      <c r="J10" s="2">
        <f t="shared" si="3"/>
        <v>8</v>
      </c>
      <c r="K10" s="15">
        <v>290000</v>
      </c>
      <c r="L10" s="15">
        <f t="shared" si="0"/>
        <v>84100000000</v>
      </c>
      <c r="M10" s="11">
        <v>353890.625</v>
      </c>
      <c r="N10" s="19">
        <f t="shared" si="1"/>
        <v>-63890.625</v>
      </c>
      <c r="O10" s="19">
        <f t="shared" si="2"/>
        <v>4082011962.890625</v>
      </c>
    </row>
    <row r="11" spans="1:15" x14ac:dyDescent="0.25">
      <c r="A11" s="1"/>
      <c r="B11" s="1"/>
      <c r="C11" s="1">
        <f>SUM(C4:C10)</f>
        <v>64</v>
      </c>
      <c r="J11" s="2">
        <f t="shared" si="3"/>
        <v>9</v>
      </c>
      <c r="K11" s="15">
        <v>350000</v>
      </c>
      <c r="L11" s="15">
        <f t="shared" si="0"/>
        <v>122500000000</v>
      </c>
      <c r="M11" s="11">
        <v>353890.625</v>
      </c>
      <c r="N11" s="19">
        <f t="shared" si="1"/>
        <v>-3890.625</v>
      </c>
      <c r="O11" s="19">
        <f t="shared" si="2"/>
        <v>15136962.890625</v>
      </c>
    </row>
    <row r="12" spans="1:15" x14ac:dyDescent="0.25">
      <c r="J12" s="2">
        <f t="shared" si="3"/>
        <v>10</v>
      </c>
      <c r="K12" s="15">
        <v>390500</v>
      </c>
      <c r="L12" s="15">
        <f t="shared" si="0"/>
        <v>152490250000</v>
      </c>
      <c r="M12" s="11">
        <v>353890.625</v>
      </c>
      <c r="N12" s="19">
        <f t="shared" si="1"/>
        <v>36609.375</v>
      </c>
      <c r="O12" s="19">
        <f t="shared" si="2"/>
        <v>1340246337.890625</v>
      </c>
    </row>
    <row r="13" spans="1:15" x14ac:dyDescent="0.25">
      <c r="A13" t="s">
        <v>17</v>
      </c>
      <c r="J13" s="2">
        <f t="shared" si="3"/>
        <v>11</v>
      </c>
      <c r="K13" s="15">
        <v>350000</v>
      </c>
      <c r="L13" s="15">
        <f t="shared" si="0"/>
        <v>122500000000</v>
      </c>
      <c r="M13" s="11">
        <v>353890.625</v>
      </c>
      <c r="N13" s="19">
        <f t="shared" si="1"/>
        <v>-3890.625</v>
      </c>
      <c r="O13" s="19">
        <f t="shared" si="2"/>
        <v>15136962.890625</v>
      </c>
    </row>
    <row r="14" spans="1:15" x14ac:dyDescent="0.25">
      <c r="A14" s="8">
        <v>1</v>
      </c>
      <c r="B14" t="s">
        <v>11</v>
      </c>
      <c r="G14">
        <f>0.5*C11</f>
        <v>32</v>
      </c>
      <c r="J14" s="2">
        <f t="shared" si="3"/>
        <v>12</v>
      </c>
      <c r="K14" s="15">
        <v>390000</v>
      </c>
      <c r="L14" s="15">
        <f t="shared" si="0"/>
        <v>152100000000</v>
      </c>
      <c r="M14" s="11">
        <v>353890.625</v>
      </c>
      <c r="N14" s="19">
        <f t="shared" si="1"/>
        <v>36109.375</v>
      </c>
      <c r="O14" s="19">
        <f t="shared" si="2"/>
        <v>1303886962.890625</v>
      </c>
    </row>
    <row r="15" spans="1:15" x14ac:dyDescent="0.25">
      <c r="A15" s="8">
        <v>2</v>
      </c>
      <c r="B15" t="s">
        <v>12</v>
      </c>
      <c r="G15">
        <f>0.5*(47+48)</f>
        <v>47.5</v>
      </c>
      <c r="J15" s="2">
        <f t="shared" si="3"/>
        <v>13</v>
      </c>
      <c r="K15" s="15">
        <v>450000</v>
      </c>
      <c r="L15" s="15">
        <f t="shared" si="0"/>
        <v>202500000000</v>
      </c>
      <c r="M15" s="11">
        <v>353890.625</v>
      </c>
      <c r="N15" s="19">
        <f t="shared" si="1"/>
        <v>96109.375</v>
      </c>
      <c r="O15" s="19">
        <f t="shared" si="2"/>
        <v>9237011962.890625</v>
      </c>
    </row>
    <row r="16" spans="1:15" x14ac:dyDescent="0.25">
      <c r="A16" s="8">
        <v>3</v>
      </c>
      <c r="B16" t="s">
        <v>13</v>
      </c>
      <c r="G16">
        <f>54-48+(1)</f>
        <v>7</v>
      </c>
      <c r="J16" s="2">
        <f t="shared" si="3"/>
        <v>14</v>
      </c>
      <c r="K16" s="15">
        <v>390000</v>
      </c>
      <c r="L16" s="15">
        <f t="shared" si="0"/>
        <v>152100000000</v>
      </c>
      <c r="M16" s="11">
        <v>353890.625</v>
      </c>
      <c r="N16" s="19">
        <f t="shared" si="1"/>
        <v>36109.375</v>
      </c>
      <c r="O16" s="19">
        <f t="shared" si="2"/>
        <v>1303886962.890625</v>
      </c>
    </row>
    <row r="17" spans="1:15" x14ac:dyDescent="0.25">
      <c r="A17" s="8">
        <v>4</v>
      </c>
      <c r="B17" t="s">
        <v>14</v>
      </c>
      <c r="G17">
        <f>C7</f>
        <v>15</v>
      </c>
      <c r="J17" s="2">
        <f t="shared" si="3"/>
        <v>15</v>
      </c>
      <c r="K17" s="15">
        <v>450000</v>
      </c>
      <c r="L17" s="15">
        <f t="shared" si="0"/>
        <v>202500000000</v>
      </c>
      <c r="M17" s="11">
        <v>353890.625</v>
      </c>
      <c r="N17" s="19">
        <f t="shared" si="1"/>
        <v>96109.375</v>
      </c>
      <c r="O17" s="19">
        <f t="shared" si="2"/>
        <v>9237011962.890625</v>
      </c>
    </row>
    <row r="18" spans="1:15" x14ac:dyDescent="0.25">
      <c r="A18" s="8">
        <v>5</v>
      </c>
      <c r="B18" t="s">
        <v>15</v>
      </c>
      <c r="G18">
        <f>C4+C5+C6</f>
        <v>23</v>
      </c>
      <c r="J18" s="2">
        <f t="shared" si="3"/>
        <v>16</v>
      </c>
      <c r="K18" s="15">
        <v>350000</v>
      </c>
      <c r="L18" s="15">
        <f t="shared" si="0"/>
        <v>122500000000</v>
      </c>
      <c r="M18" s="11">
        <v>353890.625</v>
      </c>
      <c r="N18" s="19">
        <f t="shared" si="1"/>
        <v>-3890.625</v>
      </c>
      <c r="O18" s="19">
        <f t="shared" si="2"/>
        <v>15136962.890625</v>
      </c>
    </row>
    <row r="19" spans="1:15" x14ac:dyDescent="0.25">
      <c r="A19" s="8">
        <v>6</v>
      </c>
      <c r="B19" t="s">
        <v>16</v>
      </c>
      <c r="G19" s="5">
        <f>G15+G16*((G14-G18)/G17)</f>
        <v>51.7</v>
      </c>
      <c r="J19" s="2">
        <f t="shared" si="3"/>
        <v>17</v>
      </c>
      <c r="K19" s="15">
        <v>450000</v>
      </c>
      <c r="L19" s="15">
        <f t="shared" si="0"/>
        <v>202500000000</v>
      </c>
      <c r="M19" s="11">
        <v>353890.625</v>
      </c>
      <c r="N19" s="19">
        <f t="shared" si="1"/>
        <v>96109.375</v>
      </c>
      <c r="O19" s="19">
        <f t="shared" si="2"/>
        <v>9237011962.890625</v>
      </c>
    </row>
    <row r="20" spans="1:15" x14ac:dyDescent="0.25">
      <c r="J20" s="2">
        <f>J19+1</f>
        <v>18</v>
      </c>
      <c r="K20" s="15">
        <v>250500</v>
      </c>
      <c r="L20" s="15">
        <f t="shared" si="0"/>
        <v>62750250000</v>
      </c>
      <c r="M20" s="11">
        <v>353890.625</v>
      </c>
      <c r="N20" s="19">
        <f t="shared" si="1"/>
        <v>-103390.625</v>
      </c>
      <c r="O20" s="19">
        <f t="shared" si="2"/>
        <v>10689621337.890625</v>
      </c>
    </row>
    <row r="21" spans="1:15" x14ac:dyDescent="0.25">
      <c r="J21" s="2">
        <f t="shared" si="3"/>
        <v>19</v>
      </c>
      <c r="K21" s="15">
        <v>450500</v>
      </c>
      <c r="L21" s="15">
        <f t="shared" si="0"/>
        <v>202950250000</v>
      </c>
      <c r="M21" s="11">
        <v>353890.625</v>
      </c>
      <c r="N21" s="19">
        <f t="shared" si="1"/>
        <v>96609.375</v>
      </c>
      <c r="O21" s="19">
        <f t="shared" si="2"/>
        <v>9333371337.890625</v>
      </c>
    </row>
    <row r="22" spans="1:15" x14ac:dyDescent="0.25">
      <c r="A22" t="s">
        <v>18</v>
      </c>
      <c r="J22" s="2">
        <f t="shared" si="3"/>
        <v>20</v>
      </c>
      <c r="K22" s="15">
        <v>350500</v>
      </c>
      <c r="L22" s="15">
        <f t="shared" si="0"/>
        <v>122850250000</v>
      </c>
      <c r="M22" s="11">
        <v>353890.625</v>
      </c>
      <c r="N22" s="19">
        <f t="shared" si="1"/>
        <v>-3390.625</v>
      </c>
      <c r="O22" s="19">
        <f t="shared" si="2"/>
        <v>11496337.890625</v>
      </c>
    </row>
    <row r="23" spans="1:15" x14ac:dyDescent="0.25">
      <c r="A23" s="9">
        <v>1</v>
      </c>
      <c r="B23" t="s">
        <v>19</v>
      </c>
      <c r="J23" s="2">
        <f t="shared" si="3"/>
        <v>21</v>
      </c>
      <c r="K23" s="15">
        <v>450000</v>
      </c>
      <c r="L23" s="15">
        <f t="shared" si="0"/>
        <v>202500000000</v>
      </c>
      <c r="M23" s="11">
        <v>353890.625</v>
      </c>
      <c r="N23" s="19">
        <f t="shared" si="1"/>
        <v>96109.375</v>
      </c>
      <c r="O23" s="19">
        <f t="shared" si="2"/>
        <v>9237011962.890625</v>
      </c>
    </row>
    <row r="24" spans="1:15" x14ac:dyDescent="0.25">
      <c r="A24" s="9"/>
      <c r="B24" t="s">
        <v>20</v>
      </c>
      <c r="G24">
        <f>0.25*C11</f>
        <v>16</v>
      </c>
      <c r="J24" s="2">
        <f t="shared" si="3"/>
        <v>22</v>
      </c>
      <c r="K24" s="15">
        <v>550000</v>
      </c>
      <c r="L24" s="15">
        <f t="shared" si="0"/>
        <v>302500000000</v>
      </c>
      <c r="M24" s="11">
        <v>353890.625</v>
      </c>
      <c r="N24" s="19">
        <f t="shared" si="1"/>
        <v>196109.375</v>
      </c>
      <c r="O24" s="19">
        <f t="shared" si="2"/>
        <v>38458886962.890625</v>
      </c>
    </row>
    <row r="25" spans="1:15" x14ac:dyDescent="0.25">
      <c r="A25" s="9"/>
      <c r="B25" t="s">
        <v>23</v>
      </c>
      <c r="G25">
        <f>0.5*C11</f>
        <v>32</v>
      </c>
      <c r="J25" s="2">
        <f t="shared" si="3"/>
        <v>23</v>
      </c>
      <c r="K25" s="15">
        <v>500000</v>
      </c>
      <c r="L25" s="15">
        <f t="shared" si="0"/>
        <v>250000000000</v>
      </c>
      <c r="M25" s="11">
        <v>353890.625</v>
      </c>
      <c r="N25" s="19">
        <f t="shared" si="1"/>
        <v>146109.375</v>
      </c>
      <c r="O25" s="19">
        <f t="shared" si="2"/>
        <v>21347949462.890625</v>
      </c>
    </row>
    <row r="26" spans="1:15" x14ac:dyDescent="0.25">
      <c r="A26" s="9"/>
      <c r="B26" t="s">
        <v>22</v>
      </c>
      <c r="G26">
        <f>0.75*C11</f>
        <v>48</v>
      </c>
      <c r="J26" s="2">
        <f t="shared" si="3"/>
        <v>24</v>
      </c>
      <c r="K26" s="15">
        <v>450000</v>
      </c>
      <c r="L26" s="15">
        <f t="shared" si="0"/>
        <v>202500000000</v>
      </c>
      <c r="M26" s="11">
        <v>353890.625</v>
      </c>
      <c r="N26" s="19">
        <f t="shared" si="1"/>
        <v>96109.375</v>
      </c>
      <c r="O26" s="19">
        <f t="shared" si="2"/>
        <v>9237011962.890625</v>
      </c>
    </row>
    <row r="27" spans="1:15" x14ac:dyDescent="0.25">
      <c r="A27" s="9">
        <v>2</v>
      </c>
      <c r="B27" t="s">
        <v>24</v>
      </c>
      <c r="J27" s="2">
        <f t="shared" si="3"/>
        <v>25</v>
      </c>
      <c r="K27" s="15">
        <v>350000</v>
      </c>
      <c r="L27" s="15">
        <f t="shared" si="0"/>
        <v>122500000000</v>
      </c>
      <c r="M27" s="11">
        <v>353890.625</v>
      </c>
      <c r="N27" s="19">
        <f t="shared" si="1"/>
        <v>-3890.625</v>
      </c>
      <c r="O27" s="19">
        <f t="shared" si="2"/>
        <v>15136962.890625</v>
      </c>
    </row>
    <row r="28" spans="1:15" x14ac:dyDescent="0.25">
      <c r="A28" s="9"/>
      <c r="B28" t="s">
        <v>27</v>
      </c>
      <c r="G28">
        <f>0.5*(41+40)</f>
        <v>40.5</v>
      </c>
      <c r="J28" s="2">
        <f>J27+1</f>
        <v>26</v>
      </c>
      <c r="K28" s="15">
        <v>270500</v>
      </c>
      <c r="L28" s="15">
        <f t="shared" si="0"/>
        <v>73170250000</v>
      </c>
      <c r="M28" s="11">
        <v>353890.625</v>
      </c>
      <c r="N28" s="19">
        <f t="shared" si="1"/>
        <v>-83390.625</v>
      </c>
      <c r="O28" s="19">
        <f t="shared" si="2"/>
        <v>6953996337.890625</v>
      </c>
    </row>
    <row r="29" spans="1:15" x14ac:dyDescent="0.25">
      <c r="A29" s="9"/>
      <c r="B29" t="s">
        <v>25</v>
      </c>
      <c r="G29">
        <f>0.5*(48+47)</f>
        <v>47.5</v>
      </c>
      <c r="J29" s="2">
        <f t="shared" si="3"/>
        <v>27</v>
      </c>
      <c r="K29" s="15">
        <v>260000</v>
      </c>
      <c r="L29" s="15">
        <f t="shared" si="0"/>
        <v>67600000000</v>
      </c>
      <c r="M29" s="11">
        <v>353890.625</v>
      </c>
      <c r="N29" s="19">
        <f t="shared" si="1"/>
        <v>-93890.625</v>
      </c>
      <c r="O29" s="19">
        <f t="shared" si="2"/>
        <v>8815449462.890625</v>
      </c>
    </row>
    <row r="30" spans="1:15" x14ac:dyDescent="0.25">
      <c r="A30" s="9"/>
      <c r="B30" t="s">
        <v>26</v>
      </c>
      <c r="G30">
        <f>0.5*(55+54)</f>
        <v>54.5</v>
      </c>
      <c r="J30" s="2">
        <f t="shared" si="3"/>
        <v>28</v>
      </c>
      <c r="K30" s="15">
        <v>350000</v>
      </c>
      <c r="L30" s="15">
        <f t="shared" si="0"/>
        <v>122500000000</v>
      </c>
      <c r="M30" s="11">
        <v>353890.625</v>
      </c>
      <c r="N30" s="19">
        <f t="shared" si="1"/>
        <v>-3890.625</v>
      </c>
      <c r="O30" s="19">
        <f t="shared" si="2"/>
        <v>15136962.890625</v>
      </c>
    </row>
    <row r="31" spans="1:15" x14ac:dyDescent="0.25">
      <c r="A31" s="9">
        <v>3</v>
      </c>
      <c r="B31" t="s">
        <v>30</v>
      </c>
      <c r="J31" s="2">
        <f t="shared" si="3"/>
        <v>29</v>
      </c>
      <c r="K31" s="15">
        <v>250000</v>
      </c>
      <c r="L31" s="15">
        <f t="shared" si="0"/>
        <v>62500000000</v>
      </c>
      <c r="M31" s="11">
        <v>353890.625</v>
      </c>
      <c r="N31" s="19">
        <f t="shared" si="1"/>
        <v>-103890.625</v>
      </c>
      <c r="O31" s="19">
        <f t="shared" si="2"/>
        <v>10793261962.890625</v>
      </c>
    </row>
    <row r="32" spans="1:15" x14ac:dyDescent="0.25">
      <c r="A32" s="9"/>
      <c r="B32" t="s">
        <v>33</v>
      </c>
      <c r="G32">
        <v>7</v>
      </c>
      <c r="J32" s="2">
        <f t="shared" si="3"/>
        <v>30</v>
      </c>
      <c r="K32" s="15">
        <v>350000</v>
      </c>
      <c r="L32" s="15">
        <f t="shared" si="0"/>
        <v>122500000000</v>
      </c>
      <c r="M32" s="11">
        <v>353890.625</v>
      </c>
      <c r="N32" s="19">
        <f t="shared" si="1"/>
        <v>-3890.625</v>
      </c>
      <c r="O32" s="19">
        <f t="shared" si="2"/>
        <v>15136962.890625</v>
      </c>
    </row>
    <row r="33" spans="1:15" x14ac:dyDescent="0.25">
      <c r="A33" s="9"/>
      <c r="B33" t="s">
        <v>34</v>
      </c>
      <c r="G33">
        <v>7</v>
      </c>
      <c r="J33" s="2">
        <f>J32+1</f>
        <v>31</v>
      </c>
      <c r="K33" s="15">
        <v>240500</v>
      </c>
      <c r="L33" s="15">
        <f t="shared" si="0"/>
        <v>57840250000</v>
      </c>
      <c r="M33" s="11">
        <v>353890.625</v>
      </c>
      <c r="N33" s="19">
        <f t="shared" si="1"/>
        <v>-113390.625</v>
      </c>
      <c r="O33" s="19">
        <f t="shared" si="2"/>
        <v>12857433837.890625</v>
      </c>
    </row>
    <row r="34" spans="1:15" x14ac:dyDescent="0.25">
      <c r="A34" s="9"/>
      <c r="B34" t="s">
        <v>35</v>
      </c>
      <c r="G34">
        <v>7</v>
      </c>
      <c r="J34" s="2">
        <f t="shared" si="3"/>
        <v>32</v>
      </c>
      <c r="K34" s="15">
        <v>240000</v>
      </c>
      <c r="L34" s="15">
        <f t="shared" si="0"/>
        <v>57600000000</v>
      </c>
      <c r="M34" s="11">
        <v>353890.625</v>
      </c>
      <c r="N34" s="19">
        <f t="shared" si="1"/>
        <v>-113890.625</v>
      </c>
      <c r="O34" s="19">
        <f t="shared" si="2"/>
        <v>12971074462.890625</v>
      </c>
    </row>
    <row r="35" spans="1:15" x14ac:dyDescent="0.25">
      <c r="A35" s="9">
        <v>4</v>
      </c>
      <c r="B35" t="s">
        <v>31</v>
      </c>
      <c r="J35" s="16">
        <v>32</v>
      </c>
      <c r="K35" s="17">
        <f t="shared" ref="K35:L35" si="4">SUM(K3:K34)</f>
        <v>11324500</v>
      </c>
      <c r="L35" s="17">
        <f t="shared" si="4"/>
        <v>4246402250000</v>
      </c>
      <c r="N35" s="19">
        <f>SUM(N3:N34)</f>
        <v>0</v>
      </c>
      <c r="O35" s="19">
        <f>SUM(O3:O34)</f>
        <v>238767867187.5</v>
      </c>
    </row>
    <row r="36" spans="1:15" x14ac:dyDescent="0.25">
      <c r="A36" s="10"/>
      <c r="B36" t="s">
        <v>36</v>
      </c>
      <c r="G36">
        <v>13</v>
      </c>
    </row>
    <row r="37" spans="1:15" x14ac:dyDescent="0.25">
      <c r="A37" s="10"/>
      <c r="B37" t="s">
        <v>37</v>
      </c>
      <c r="G37">
        <v>15</v>
      </c>
      <c r="J37" s="13" t="s">
        <v>52</v>
      </c>
    </row>
    <row r="38" spans="1:15" x14ac:dyDescent="0.25">
      <c r="A38" s="10"/>
      <c r="B38" t="s">
        <v>38</v>
      </c>
      <c r="G38">
        <v>13</v>
      </c>
      <c r="J38" s="13" t="s">
        <v>53</v>
      </c>
    </row>
    <row r="39" spans="1:15" x14ac:dyDescent="0.25">
      <c r="A39" s="9">
        <v>5</v>
      </c>
      <c r="B39" t="s">
        <v>32</v>
      </c>
      <c r="J39" s="18" t="s">
        <v>54</v>
      </c>
      <c r="L39" s="12">
        <f>K35^2/J35</f>
        <v>4007634382812.5</v>
      </c>
    </row>
    <row r="40" spans="1:15" x14ac:dyDescent="0.25">
      <c r="A40" s="9"/>
      <c r="B40" t="s">
        <v>39</v>
      </c>
      <c r="G40">
        <f>C4+C5</f>
        <v>10</v>
      </c>
      <c r="J40" s="18" t="s">
        <v>55</v>
      </c>
      <c r="L40" s="12">
        <f>J35-1</f>
        <v>31</v>
      </c>
    </row>
    <row r="41" spans="1:15" x14ac:dyDescent="0.25">
      <c r="A41" s="9"/>
      <c r="B41" t="s">
        <v>40</v>
      </c>
      <c r="G41">
        <f>C4+C5+C6</f>
        <v>23</v>
      </c>
      <c r="J41" s="18" t="s">
        <v>56</v>
      </c>
      <c r="L41" s="12">
        <f>SQRT((L35-L39)/L40)</f>
        <v>87762.117477376902</v>
      </c>
    </row>
    <row r="42" spans="1:15" x14ac:dyDescent="0.25">
      <c r="A42" s="9"/>
      <c r="B42" t="s">
        <v>41</v>
      </c>
      <c r="G42">
        <f>C4+C5+C6+C7</f>
        <v>38</v>
      </c>
      <c r="J42" s="18" t="s">
        <v>57</v>
      </c>
    </row>
    <row r="43" spans="1:15" x14ac:dyDescent="0.25">
      <c r="A43" s="9">
        <v>6</v>
      </c>
      <c r="B43" t="s">
        <v>42</v>
      </c>
    </row>
    <row r="44" spans="1:15" x14ac:dyDescent="0.25">
      <c r="B44" t="s">
        <v>20</v>
      </c>
      <c r="G44" s="5">
        <f>G28+G32*((0.25*C11-G40)/G36)</f>
        <v>43.730769230769234</v>
      </c>
      <c r="J44" s="13" t="s">
        <v>58</v>
      </c>
    </row>
    <row r="45" spans="1:15" x14ac:dyDescent="0.25">
      <c r="B45" t="s">
        <v>43</v>
      </c>
      <c r="G45" s="5">
        <f>G29+G33*((0.5*C11-G41)/G37)</f>
        <v>51.7</v>
      </c>
      <c r="J45" s="18" t="s">
        <v>62</v>
      </c>
      <c r="L45" s="12">
        <f>M3</f>
        <v>353890.625</v>
      </c>
    </row>
    <row r="46" spans="1:15" x14ac:dyDescent="0.25">
      <c r="B46" t="s">
        <v>44</v>
      </c>
      <c r="G46" s="5">
        <f>G30+G34*((0.75*C11-G42)/G38)</f>
        <v>59.884615384615387</v>
      </c>
      <c r="J46" s="18" t="s">
        <v>63</v>
      </c>
      <c r="L46" s="12">
        <f>O35</f>
        <v>238767867187.5</v>
      </c>
    </row>
    <row r="47" spans="1:15" x14ac:dyDescent="0.25">
      <c r="A47" s="8">
        <v>7</v>
      </c>
      <c r="B47" t="s">
        <v>45</v>
      </c>
      <c r="J47" s="18" t="s">
        <v>56</v>
      </c>
      <c r="L47" s="12">
        <f>SQRT(L46/(J35-1))</f>
        <v>87762.117477376902</v>
      </c>
    </row>
    <row r="48" spans="1:15" x14ac:dyDescent="0.25">
      <c r="B48" t="s">
        <v>46</v>
      </c>
    </row>
    <row r="49" spans="2:2" x14ac:dyDescent="0.25">
      <c r="B49" t="s">
        <v>47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62"/>
  <sheetViews>
    <sheetView tabSelected="1" topLeftCell="A143" workbookViewId="0">
      <selection activeCell="A162" sqref="A162"/>
    </sheetView>
  </sheetViews>
  <sheetFormatPr defaultRowHeight="15" x14ac:dyDescent="0.25"/>
  <cols>
    <col min="3" max="3" width="10.5703125" customWidth="1"/>
    <col min="4" max="4" width="13.28515625" customWidth="1"/>
    <col min="5" max="5" width="12.5703125" customWidth="1"/>
  </cols>
  <sheetData>
    <row r="1" spans="1:13" x14ac:dyDescent="0.25">
      <c r="A1" s="6" t="s">
        <v>64</v>
      </c>
    </row>
    <row r="2" spans="1:13" x14ac:dyDescent="0.25">
      <c r="A2" s="16" t="s">
        <v>65</v>
      </c>
      <c r="B2" s="16" t="s">
        <v>66</v>
      </c>
      <c r="C2" s="16" t="s">
        <v>72</v>
      </c>
      <c r="D2" s="16"/>
      <c r="E2" s="16" t="s">
        <v>51</v>
      </c>
      <c r="F2" s="16" t="s">
        <v>76</v>
      </c>
      <c r="G2" s="16"/>
      <c r="H2" s="16" t="s">
        <v>67</v>
      </c>
      <c r="I2" s="21" t="s">
        <v>79</v>
      </c>
      <c r="K2" s="34" t="s">
        <v>144</v>
      </c>
      <c r="M2" s="34" t="s">
        <v>145</v>
      </c>
    </row>
    <row r="3" spans="1:13" x14ac:dyDescent="0.25">
      <c r="A3" s="2">
        <v>1</v>
      </c>
      <c r="B3" s="2">
        <v>28</v>
      </c>
      <c r="C3" s="2">
        <f>B3^2</f>
        <v>784</v>
      </c>
      <c r="D3" s="2"/>
      <c r="E3" s="2">
        <v>28</v>
      </c>
      <c r="F3" s="2">
        <f>E3^2</f>
        <v>784</v>
      </c>
      <c r="G3" s="2"/>
      <c r="H3" s="2">
        <v>43</v>
      </c>
      <c r="I3" s="2">
        <f>H3^2</f>
        <v>1849</v>
      </c>
      <c r="K3">
        <f>B3*H3</f>
        <v>1204</v>
      </c>
      <c r="M3">
        <f>E3*H3</f>
        <v>1204</v>
      </c>
    </row>
    <row r="4" spans="1:13" x14ac:dyDescent="0.25">
      <c r="A4" s="2">
        <f>A3+1</f>
        <v>2</v>
      </c>
      <c r="B4" s="2">
        <v>38</v>
      </c>
      <c r="C4" s="2">
        <f t="shared" ref="C4:C17" si="0">B4^2</f>
        <v>1444</v>
      </c>
      <c r="D4" s="2"/>
      <c r="E4" s="2">
        <v>46</v>
      </c>
      <c r="F4" s="2">
        <f t="shared" ref="F4:F17" si="1">E4^2</f>
        <v>2116</v>
      </c>
      <c r="G4" s="2"/>
      <c r="H4" s="2">
        <v>68</v>
      </c>
      <c r="I4" s="2">
        <f t="shared" ref="I4:I17" si="2">H4^2</f>
        <v>4624</v>
      </c>
      <c r="K4">
        <f t="shared" ref="K4:K17" si="3">B4*H4</f>
        <v>2584</v>
      </c>
      <c r="M4">
        <f t="shared" ref="M4:M17" si="4">E4*H4</f>
        <v>3128</v>
      </c>
    </row>
    <row r="5" spans="1:13" x14ac:dyDescent="0.25">
      <c r="A5" s="2">
        <f t="shared" ref="A5:A17" si="5">A4+1</f>
        <v>3</v>
      </c>
      <c r="B5" s="2">
        <v>32</v>
      </c>
      <c r="C5" s="2">
        <f t="shared" si="0"/>
        <v>1024</v>
      </c>
      <c r="D5" s="2"/>
      <c r="E5" s="2">
        <v>31</v>
      </c>
      <c r="F5" s="2">
        <f t="shared" si="1"/>
        <v>961</v>
      </c>
      <c r="G5" s="2"/>
      <c r="H5" s="2">
        <v>47</v>
      </c>
      <c r="I5" s="2">
        <f t="shared" si="2"/>
        <v>2209</v>
      </c>
      <c r="K5">
        <f t="shared" si="3"/>
        <v>1504</v>
      </c>
      <c r="M5">
        <f t="shared" si="4"/>
        <v>1457</v>
      </c>
    </row>
    <row r="6" spans="1:13" x14ac:dyDescent="0.25">
      <c r="A6" s="2">
        <f t="shared" si="5"/>
        <v>4</v>
      </c>
      <c r="B6" s="2">
        <v>24</v>
      </c>
      <c r="C6" s="2">
        <f t="shared" si="0"/>
        <v>576</v>
      </c>
      <c r="D6" s="2"/>
      <c r="E6" s="2">
        <v>24</v>
      </c>
      <c r="F6" s="2">
        <f t="shared" si="1"/>
        <v>576</v>
      </c>
      <c r="G6" s="2"/>
      <c r="H6" s="2">
        <v>38</v>
      </c>
      <c r="I6" s="2">
        <f t="shared" si="2"/>
        <v>1444</v>
      </c>
      <c r="K6">
        <f t="shared" si="3"/>
        <v>912</v>
      </c>
      <c r="M6">
        <f t="shared" si="4"/>
        <v>912</v>
      </c>
    </row>
    <row r="7" spans="1:13" x14ac:dyDescent="0.25">
      <c r="A7" s="2">
        <f t="shared" si="5"/>
        <v>5</v>
      </c>
      <c r="B7" s="2">
        <v>36</v>
      </c>
      <c r="C7" s="2">
        <f t="shared" si="0"/>
        <v>1296</v>
      </c>
      <c r="D7" s="2"/>
      <c r="E7" s="2">
        <v>36</v>
      </c>
      <c r="F7" s="2">
        <f t="shared" si="1"/>
        <v>1296</v>
      </c>
      <c r="G7" s="2"/>
      <c r="H7" s="2">
        <v>54</v>
      </c>
      <c r="I7" s="2">
        <f t="shared" si="2"/>
        <v>2916</v>
      </c>
      <c r="K7">
        <f t="shared" si="3"/>
        <v>1944</v>
      </c>
      <c r="M7">
        <f t="shared" si="4"/>
        <v>1944</v>
      </c>
    </row>
    <row r="8" spans="1:13" x14ac:dyDescent="0.25">
      <c r="A8" s="2">
        <f t="shared" si="5"/>
        <v>6</v>
      </c>
      <c r="B8" s="2">
        <v>26</v>
      </c>
      <c r="C8" s="2">
        <f t="shared" si="0"/>
        <v>676</v>
      </c>
      <c r="D8" s="2"/>
      <c r="E8" s="2">
        <v>29</v>
      </c>
      <c r="F8" s="2">
        <f t="shared" si="1"/>
        <v>841</v>
      </c>
      <c r="G8" s="2"/>
      <c r="H8" s="2">
        <v>45</v>
      </c>
      <c r="I8" s="2">
        <f t="shared" si="2"/>
        <v>2025</v>
      </c>
      <c r="K8">
        <f t="shared" si="3"/>
        <v>1170</v>
      </c>
      <c r="M8">
        <f t="shared" si="4"/>
        <v>1305</v>
      </c>
    </row>
    <row r="9" spans="1:13" x14ac:dyDescent="0.25">
      <c r="A9" s="2">
        <f t="shared" si="5"/>
        <v>7</v>
      </c>
      <c r="B9" s="2">
        <v>44</v>
      </c>
      <c r="C9" s="2">
        <f t="shared" si="0"/>
        <v>1936</v>
      </c>
      <c r="D9" s="2"/>
      <c r="E9" s="2">
        <v>44</v>
      </c>
      <c r="F9" s="2">
        <f t="shared" si="1"/>
        <v>1936</v>
      </c>
      <c r="G9" s="2"/>
      <c r="H9" s="2">
        <v>66</v>
      </c>
      <c r="I9" s="2">
        <f t="shared" si="2"/>
        <v>4356</v>
      </c>
      <c r="K9">
        <f t="shared" si="3"/>
        <v>2904</v>
      </c>
      <c r="M9">
        <f t="shared" si="4"/>
        <v>2904</v>
      </c>
    </row>
    <row r="10" spans="1:13" x14ac:dyDescent="0.25">
      <c r="A10" s="2">
        <f t="shared" si="5"/>
        <v>8</v>
      </c>
      <c r="B10" s="2">
        <v>36</v>
      </c>
      <c r="C10" s="2">
        <f t="shared" si="0"/>
        <v>1296</v>
      </c>
      <c r="D10" s="2"/>
      <c r="E10" s="2">
        <v>42</v>
      </c>
      <c r="F10" s="2">
        <f t="shared" si="1"/>
        <v>1764</v>
      </c>
      <c r="G10" s="2"/>
      <c r="H10" s="2">
        <v>63</v>
      </c>
      <c r="I10" s="2">
        <f t="shared" si="2"/>
        <v>3969</v>
      </c>
      <c r="K10">
        <f t="shared" si="3"/>
        <v>2268</v>
      </c>
      <c r="M10">
        <f t="shared" si="4"/>
        <v>2646</v>
      </c>
    </row>
    <row r="11" spans="1:13" x14ac:dyDescent="0.25">
      <c r="A11" s="2">
        <f t="shared" si="5"/>
        <v>9</v>
      </c>
      <c r="B11" s="2">
        <v>36</v>
      </c>
      <c r="C11" s="2">
        <f t="shared" si="0"/>
        <v>1296</v>
      </c>
      <c r="D11" s="2"/>
      <c r="E11" s="2">
        <v>42</v>
      </c>
      <c r="F11" s="2">
        <f t="shared" si="1"/>
        <v>1764</v>
      </c>
      <c r="G11" s="2"/>
      <c r="H11" s="2">
        <v>63</v>
      </c>
      <c r="I11" s="2">
        <f t="shared" si="2"/>
        <v>3969</v>
      </c>
      <c r="K11">
        <f t="shared" si="3"/>
        <v>2268</v>
      </c>
      <c r="M11">
        <f t="shared" si="4"/>
        <v>2646</v>
      </c>
    </row>
    <row r="12" spans="1:13" x14ac:dyDescent="0.25">
      <c r="A12" s="2">
        <f t="shared" si="5"/>
        <v>10</v>
      </c>
      <c r="B12" s="2">
        <v>24</v>
      </c>
      <c r="C12" s="2">
        <f t="shared" si="0"/>
        <v>576</v>
      </c>
      <c r="D12" s="2"/>
      <c r="E12" s="2">
        <v>29</v>
      </c>
      <c r="F12" s="2">
        <f t="shared" si="1"/>
        <v>841</v>
      </c>
      <c r="G12" s="2"/>
      <c r="H12" s="2">
        <v>45</v>
      </c>
      <c r="I12" s="2">
        <f t="shared" si="2"/>
        <v>2025</v>
      </c>
      <c r="K12">
        <f t="shared" si="3"/>
        <v>1080</v>
      </c>
      <c r="M12">
        <f t="shared" si="4"/>
        <v>1305</v>
      </c>
    </row>
    <row r="13" spans="1:13" x14ac:dyDescent="0.25">
      <c r="A13" s="2">
        <f t="shared" si="5"/>
        <v>11</v>
      </c>
      <c r="B13" s="2">
        <v>24</v>
      </c>
      <c r="C13" s="2">
        <f t="shared" si="0"/>
        <v>576</v>
      </c>
      <c r="D13" s="2"/>
      <c r="E13" s="2">
        <v>26</v>
      </c>
      <c r="F13" s="2">
        <f t="shared" si="1"/>
        <v>676</v>
      </c>
      <c r="G13" s="2"/>
      <c r="H13" s="2">
        <v>41</v>
      </c>
      <c r="I13" s="2">
        <f t="shared" si="2"/>
        <v>1681</v>
      </c>
      <c r="K13">
        <f t="shared" si="3"/>
        <v>984</v>
      </c>
      <c r="M13">
        <f t="shared" si="4"/>
        <v>1066</v>
      </c>
    </row>
    <row r="14" spans="1:13" x14ac:dyDescent="0.25">
      <c r="A14" s="2">
        <f t="shared" si="5"/>
        <v>12</v>
      </c>
      <c r="B14" s="2">
        <v>38</v>
      </c>
      <c r="C14" s="2">
        <f t="shared" si="0"/>
        <v>1444</v>
      </c>
      <c r="D14" s="2"/>
      <c r="E14" s="2">
        <v>38</v>
      </c>
      <c r="F14" s="2">
        <f t="shared" si="1"/>
        <v>1444</v>
      </c>
      <c r="G14" s="2"/>
      <c r="H14" s="2">
        <v>57</v>
      </c>
      <c r="I14" s="2">
        <f t="shared" si="2"/>
        <v>3249</v>
      </c>
      <c r="K14">
        <f t="shared" si="3"/>
        <v>2166</v>
      </c>
      <c r="M14">
        <f t="shared" si="4"/>
        <v>2166</v>
      </c>
    </row>
    <row r="15" spans="1:13" x14ac:dyDescent="0.25">
      <c r="A15" s="2">
        <f t="shared" si="5"/>
        <v>13</v>
      </c>
      <c r="B15" s="2">
        <v>27</v>
      </c>
      <c r="C15" s="2">
        <f t="shared" si="0"/>
        <v>729</v>
      </c>
      <c r="D15" s="2"/>
      <c r="E15" s="2">
        <v>27</v>
      </c>
      <c r="F15" s="2">
        <f t="shared" si="1"/>
        <v>729</v>
      </c>
      <c r="G15" s="2"/>
      <c r="H15" s="2">
        <v>42</v>
      </c>
      <c r="I15" s="2">
        <f t="shared" si="2"/>
        <v>1764</v>
      </c>
      <c r="K15">
        <f t="shared" si="3"/>
        <v>1134</v>
      </c>
      <c r="M15">
        <f t="shared" si="4"/>
        <v>1134</v>
      </c>
    </row>
    <row r="16" spans="1:13" x14ac:dyDescent="0.25">
      <c r="A16" s="2">
        <f t="shared" si="5"/>
        <v>14</v>
      </c>
      <c r="B16" s="2">
        <v>48</v>
      </c>
      <c r="C16" s="2">
        <f t="shared" si="0"/>
        <v>2304</v>
      </c>
      <c r="D16" s="2"/>
      <c r="E16" s="2">
        <v>48</v>
      </c>
      <c r="F16" s="2">
        <f t="shared" si="1"/>
        <v>2304</v>
      </c>
      <c r="G16" s="2"/>
      <c r="H16" s="2">
        <v>71</v>
      </c>
      <c r="I16" s="2">
        <f t="shared" si="2"/>
        <v>5041</v>
      </c>
      <c r="K16">
        <f t="shared" si="3"/>
        <v>3408</v>
      </c>
      <c r="M16">
        <f t="shared" si="4"/>
        <v>3408</v>
      </c>
    </row>
    <row r="17" spans="1:13" x14ac:dyDescent="0.25">
      <c r="A17" s="2">
        <f t="shared" si="5"/>
        <v>15</v>
      </c>
      <c r="B17" s="2">
        <v>24</v>
      </c>
      <c r="C17" s="2">
        <f t="shared" si="0"/>
        <v>576</v>
      </c>
      <c r="D17" s="2"/>
      <c r="E17" s="2">
        <v>28</v>
      </c>
      <c r="F17" s="2">
        <f t="shared" si="1"/>
        <v>784</v>
      </c>
      <c r="G17" s="2"/>
      <c r="H17" s="2">
        <v>43</v>
      </c>
      <c r="I17" s="2">
        <f t="shared" si="2"/>
        <v>1849</v>
      </c>
      <c r="K17">
        <f t="shared" si="3"/>
        <v>1032</v>
      </c>
      <c r="M17">
        <f t="shared" si="4"/>
        <v>1204</v>
      </c>
    </row>
    <row r="18" spans="1:13" x14ac:dyDescent="0.25">
      <c r="A18" s="20" t="s">
        <v>70</v>
      </c>
      <c r="B18" s="20" t="s">
        <v>71</v>
      </c>
      <c r="C18" s="20" t="s">
        <v>73</v>
      </c>
      <c r="D18" s="20"/>
      <c r="E18" s="20" t="s">
        <v>82</v>
      </c>
      <c r="F18" s="20" t="s">
        <v>83</v>
      </c>
      <c r="G18" s="20"/>
      <c r="H18" s="20" t="s">
        <v>80</v>
      </c>
      <c r="I18" s="20" t="s">
        <v>81</v>
      </c>
      <c r="K18" s="26" t="s">
        <v>146</v>
      </c>
      <c r="M18" s="26" t="s">
        <v>147</v>
      </c>
    </row>
    <row r="19" spans="1:13" x14ac:dyDescent="0.25">
      <c r="A19" s="20">
        <v>15</v>
      </c>
      <c r="B19" s="20">
        <f>SUM(B3:B17)</f>
        <v>485</v>
      </c>
      <c r="C19" s="20">
        <f>SUM(C3:C17)</f>
        <v>16533</v>
      </c>
      <c r="D19" s="20"/>
      <c r="E19" s="20">
        <f>SUM(E3:E17)</f>
        <v>518</v>
      </c>
      <c r="F19" s="20">
        <f>SUM(F3:F17)</f>
        <v>18816</v>
      </c>
      <c r="G19" s="20"/>
      <c r="H19" s="20">
        <f>SUM(H3:H17)</f>
        <v>786</v>
      </c>
      <c r="I19" s="20">
        <f>SUM(I3:I17)</f>
        <v>42970</v>
      </c>
      <c r="K19">
        <f>SUM(K3:K17)</f>
        <v>26562</v>
      </c>
      <c r="M19">
        <f>SUM(M3:M17)</f>
        <v>28429</v>
      </c>
    </row>
    <row r="20" spans="1:13" x14ac:dyDescent="0.25">
      <c r="A20" s="20"/>
      <c r="B20" s="20"/>
      <c r="C20" s="20"/>
      <c r="D20" s="20"/>
      <c r="E20" s="20"/>
      <c r="F20" s="20"/>
      <c r="G20" s="20"/>
      <c r="H20" s="20"/>
    </row>
    <row r="22" spans="1:13" x14ac:dyDescent="0.25">
      <c r="A22" t="s">
        <v>68</v>
      </c>
    </row>
    <row r="24" spans="1:13" x14ac:dyDescent="0.25">
      <c r="A24" s="6" t="s">
        <v>69</v>
      </c>
    </row>
    <row r="25" spans="1:13" x14ac:dyDescent="0.25">
      <c r="A25" s="6" t="s">
        <v>84</v>
      </c>
    </row>
    <row r="26" spans="1:13" x14ac:dyDescent="0.25">
      <c r="A26" s="18" t="s">
        <v>54</v>
      </c>
      <c r="C26">
        <f>B19^2/A19</f>
        <v>15681.666666666666</v>
      </c>
    </row>
    <row r="27" spans="1:13" x14ac:dyDescent="0.25">
      <c r="A27" s="18" t="s">
        <v>55</v>
      </c>
      <c r="C27">
        <v>14</v>
      </c>
    </row>
    <row r="28" spans="1:13" x14ac:dyDescent="0.25">
      <c r="A28" s="18" t="s">
        <v>74</v>
      </c>
      <c r="C28" s="11">
        <f>SQRT((C19-C26)/C27)</f>
        <v>7.7980461533337859</v>
      </c>
    </row>
    <row r="29" spans="1:13" x14ac:dyDescent="0.25">
      <c r="A29" s="18" t="s">
        <v>75</v>
      </c>
      <c r="C29" s="11">
        <f>C28^2</f>
        <v>60.809523809523853</v>
      </c>
    </row>
    <row r="31" spans="1:13" x14ac:dyDescent="0.25">
      <c r="A31" s="18" t="s">
        <v>54</v>
      </c>
      <c r="C31">
        <f>E19^2/A19</f>
        <v>17888.266666666666</v>
      </c>
    </row>
    <row r="32" spans="1:13" x14ac:dyDescent="0.25">
      <c r="A32" s="18" t="s">
        <v>55</v>
      </c>
      <c r="C32">
        <v>14</v>
      </c>
    </row>
    <row r="33" spans="1:5" x14ac:dyDescent="0.25">
      <c r="A33" s="18" t="s">
        <v>74</v>
      </c>
      <c r="C33" s="11">
        <f>SQRT((F19-C31)/C32)</f>
        <v>8.1404340588611532</v>
      </c>
    </row>
    <row r="34" spans="1:5" x14ac:dyDescent="0.25">
      <c r="A34" s="18" t="s">
        <v>77</v>
      </c>
      <c r="C34" s="11">
        <f>C33^2</f>
        <v>66.266666666666666</v>
      </c>
    </row>
    <row r="36" spans="1:5" x14ac:dyDescent="0.25">
      <c r="A36" s="18" t="s">
        <v>54</v>
      </c>
      <c r="C36">
        <f>H19^2/A19</f>
        <v>41186.400000000001</v>
      </c>
    </row>
    <row r="37" spans="1:5" x14ac:dyDescent="0.25">
      <c r="A37" s="18" t="s">
        <v>55</v>
      </c>
      <c r="C37">
        <v>14</v>
      </c>
    </row>
    <row r="38" spans="1:5" x14ac:dyDescent="0.25">
      <c r="A38" s="18" t="s">
        <v>74</v>
      </c>
      <c r="C38" s="11">
        <f>SQRT((I19-C36)/C37)</f>
        <v>11.287160847617965</v>
      </c>
    </row>
    <row r="39" spans="1:5" x14ac:dyDescent="0.25">
      <c r="A39" s="18" t="s">
        <v>78</v>
      </c>
      <c r="C39" s="11">
        <f>C38^2</f>
        <v>127.39999999999991</v>
      </c>
    </row>
    <row r="41" spans="1:5" x14ac:dyDescent="0.25">
      <c r="A41" s="13" t="s">
        <v>85</v>
      </c>
    </row>
    <row r="42" spans="1:5" x14ac:dyDescent="0.25">
      <c r="A42" s="2" t="s">
        <v>86</v>
      </c>
      <c r="B42" s="2" t="s">
        <v>87</v>
      </c>
      <c r="C42" s="2" t="s">
        <v>89</v>
      </c>
      <c r="D42" s="2" t="s">
        <v>90</v>
      </c>
      <c r="E42" s="2" t="s">
        <v>88</v>
      </c>
    </row>
    <row r="43" spans="1:5" x14ac:dyDescent="0.25">
      <c r="A43" s="2" t="s">
        <v>66</v>
      </c>
      <c r="B43" s="2">
        <v>14</v>
      </c>
      <c r="C43" s="24">
        <f>C29</f>
        <v>60.809523809523853</v>
      </c>
      <c r="D43" s="25">
        <f>LOG(C43)</f>
        <v>1.7839716025294963</v>
      </c>
      <c r="E43" s="25">
        <f>B43*D43</f>
        <v>24.975602435412949</v>
      </c>
    </row>
    <row r="44" spans="1:5" x14ac:dyDescent="0.25">
      <c r="A44" s="2" t="s">
        <v>51</v>
      </c>
      <c r="B44" s="2">
        <v>14</v>
      </c>
      <c r="C44" s="24">
        <f>C34</f>
        <v>66.266666666666666</v>
      </c>
      <c r="D44" s="25">
        <f t="shared" ref="D44:D45" si="6">LOG(C44)</f>
        <v>1.8212951253416321</v>
      </c>
      <c r="E44" s="25">
        <f t="shared" ref="E44:E45" si="7">B44*D44</f>
        <v>25.49813175478285</v>
      </c>
    </row>
    <row r="45" spans="1:5" x14ac:dyDescent="0.25">
      <c r="A45" s="2" t="s">
        <v>67</v>
      </c>
      <c r="B45" s="2">
        <v>14</v>
      </c>
      <c r="C45" s="24">
        <f>C39</f>
        <v>127.39999999999991</v>
      </c>
      <c r="D45" s="25">
        <f t="shared" si="6"/>
        <v>2.1051694279993312</v>
      </c>
      <c r="E45" s="25">
        <f t="shared" si="7"/>
        <v>29.472371991990634</v>
      </c>
    </row>
    <row r="46" spans="1:5" x14ac:dyDescent="0.25">
      <c r="A46" s="20"/>
      <c r="B46" s="20">
        <f>SUM(B43:B45)</f>
        <v>42</v>
      </c>
      <c r="C46" s="28"/>
      <c r="D46" s="29"/>
      <c r="E46" s="29">
        <f>SUM(E43:E45)</f>
        <v>79.94610618218644</v>
      </c>
    </row>
    <row r="48" spans="1:5" x14ac:dyDescent="0.25">
      <c r="A48" s="27" t="s">
        <v>95</v>
      </c>
    </row>
    <row r="49" spans="1:2" x14ac:dyDescent="0.25">
      <c r="A49" s="26" t="s">
        <v>91</v>
      </c>
      <c r="B49">
        <f>(B43*C43+B44*C44+B45*C45)/B46</f>
        <v>84.825396825396808</v>
      </c>
    </row>
    <row r="50" spans="1:2" x14ac:dyDescent="0.25">
      <c r="A50" s="26" t="s">
        <v>92</v>
      </c>
      <c r="B50" s="37">
        <f>LOG(B49)</f>
        <v>1.9285259000139074</v>
      </c>
    </row>
    <row r="51" spans="1:2" x14ac:dyDescent="0.25">
      <c r="A51" s="26" t="s">
        <v>93</v>
      </c>
      <c r="B51" s="5">
        <f>B50*B46</f>
        <v>80.998087800584116</v>
      </c>
    </row>
    <row r="52" spans="1:2" x14ac:dyDescent="0.25">
      <c r="A52" s="26" t="s">
        <v>94</v>
      </c>
      <c r="B52" s="22">
        <f>LN(10)*(B51-E46)</f>
        <v>2.4222771926262392</v>
      </c>
    </row>
    <row r="54" spans="1:2" x14ac:dyDescent="0.25">
      <c r="A54" s="31" t="s">
        <v>96</v>
      </c>
    </row>
    <row r="55" spans="1:2" x14ac:dyDescent="0.25">
      <c r="A55" s="26" t="s">
        <v>97</v>
      </c>
    </row>
    <row r="56" spans="1:2" x14ac:dyDescent="0.25">
      <c r="A56" s="30" t="s">
        <v>98</v>
      </c>
    </row>
    <row r="57" spans="1:2" x14ac:dyDescent="0.25">
      <c r="A57" t="s">
        <v>99</v>
      </c>
      <c r="B57">
        <v>5.99</v>
      </c>
    </row>
    <row r="58" spans="1:2" x14ac:dyDescent="0.25">
      <c r="A58" s="32" t="s">
        <v>100</v>
      </c>
    </row>
    <row r="61" spans="1:2" x14ac:dyDescent="0.25">
      <c r="A61" s="6" t="s">
        <v>101</v>
      </c>
    </row>
    <row r="62" spans="1:2" x14ac:dyDescent="0.25">
      <c r="A62" s="6" t="s">
        <v>102</v>
      </c>
    </row>
    <row r="63" spans="1:2" x14ac:dyDescent="0.25">
      <c r="A63" t="s">
        <v>103</v>
      </c>
    </row>
    <row r="64" spans="1:2" x14ac:dyDescent="0.25">
      <c r="A64" s="16">
        <v>24</v>
      </c>
    </row>
    <row r="65" spans="1:4" x14ac:dyDescent="0.25">
      <c r="A65" s="2">
        <v>24</v>
      </c>
    </row>
    <row r="66" spans="1:4" x14ac:dyDescent="0.25">
      <c r="A66" s="2">
        <v>24</v>
      </c>
    </row>
    <row r="67" spans="1:4" x14ac:dyDescent="0.25">
      <c r="A67" s="2">
        <v>24</v>
      </c>
    </row>
    <row r="68" spans="1:4" x14ac:dyDescent="0.25">
      <c r="A68" s="2">
        <v>26</v>
      </c>
    </row>
    <row r="69" spans="1:4" x14ac:dyDescent="0.25">
      <c r="A69" s="2">
        <v>27</v>
      </c>
    </row>
    <row r="70" spans="1:4" x14ac:dyDescent="0.25">
      <c r="A70" s="2">
        <v>28</v>
      </c>
    </row>
    <row r="71" spans="1:4" x14ac:dyDescent="0.25">
      <c r="A71" s="2">
        <v>32</v>
      </c>
    </row>
    <row r="72" spans="1:4" x14ac:dyDescent="0.25">
      <c r="A72" s="2">
        <v>36</v>
      </c>
    </row>
    <row r="73" spans="1:4" x14ac:dyDescent="0.25">
      <c r="A73" s="2">
        <v>36</v>
      </c>
    </row>
    <row r="74" spans="1:4" x14ac:dyDescent="0.25">
      <c r="A74" s="2">
        <v>36</v>
      </c>
    </row>
    <row r="75" spans="1:4" x14ac:dyDescent="0.25">
      <c r="A75" s="2">
        <v>38</v>
      </c>
    </row>
    <row r="76" spans="1:4" x14ac:dyDescent="0.25">
      <c r="A76" s="2">
        <v>38</v>
      </c>
    </row>
    <row r="77" spans="1:4" x14ac:dyDescent="0.25">
      <c r="A77" s="2">
        <v>44</v>
      </c>
    </row>
    <row r="78" spans="1:4" x14ac:dyDescent="0.25">
      <c r="A78" s="16">
        <v>48</v>
      </c>
    </row>
    <row r="79" spans="1:4" x14ac:dyDescent="0.25">
      <c r="A79" t="s">
        <v>105</v>
      </c>
      <c r="C79">
        <f>A78-A64</f>
        <v>24</v>
      </c>
    </row>
    <row r="80" spans="1:4" x14ac:dyDescent="0.25">
      <c r="A80" t="s">
        <v>104</v>
      </c>
      <c r="C80" s="5">
        <f>1+3.3*(LOG(15))</f>
        <v>4.8811011548837477</v>
      </c>
      <c r="D80">
        <v>5</v>
      </c>
    </row>
    <row r="81" spans="1:8" x14ac:dyDescent="0.25">
      <c r="A81" t="s">
        <v>106</v>
      </c>
      <c r="C81" s="5">
        <f>C79/C80</f>
        <v>4.9169233003882713</v>
      </c>
      <c r="D81">
        <v>5</v>
      </c>
    </row>
    <row r="82" spans="1:8" x14ac:dyDescent="0.25">
      <c r="A82" t="s">
        <v>107</v>
      </c>
    </row>
    <row r="83" spans="1:8" x14ac:dyDescent="0.25">
      <c r="A83" s="16" t="s">
        <v>108</v>
      </c>
      <c r="B83" s="16" t="s">
        <v>109</v>
      </c>
      <c r="C83" s="16" t="s">
        <v>3</v>
      </c>
      <c r="D83" s="16" t="s">
        <v>110</v>
      </c>
      <c r="E83" s="16" t="s">
        <v>111</v>
      </c>
      <c r="F83" s="16" t="s">
        <v>112</v>
      </c>
      <c r="G83" s="16" t="s">
        <v>113</v>
      </c>
    </row>
    <row r="84" spans="1:8" x14ac:dyDescent="0.25">
      <c r="A84" s="1">
        <v>1</v>
      </c>
      <c r="B84" s="1" t="s">
        <v>114</v>
      </c>
      <c r="C84" s="1">
        <v>7</v>
      </c>
      <c r="D84" s="1">
        <v>26</v>
      </c>
      <c r="E84" s="1">
        <f>D84^2</f>
        <v>676</v>
      </c>
      <c r="F84" s="1">
        <f>C84*D84</f>
        <v>182</v>
      </c>
      <c r="G84" s="1">
        <f>C84*E84</f>
        <v>4732</v>
      </c>
    </row>
    <row r="85" spans="1:8" x14ac:dyDescent="0.25">
      <c r="A85" s="1">
        <v>2</v>
      </c>
      <c r="B85" s="1" t="s">
        <v>115</v>
      </c>
      <c r="C85" s="1">
        <v>1</v>
      </c>
      <c r="D85" s="1">
        <v>31</v>
      </c>
      <c r="E85" s="1">
        <f t="shared" ref="E85:E88" si="8">D85^2</f>
        <v>961</v>
      </c>
      <c r="F85" s="1">
        <f t="shared" ref="F85:F88" si="9">C85*D85</f>
        <v>31</v>
      </c>
      <c r="G85" s="1">
        <f t="shared" ref="G85:G88" si="10">C85*E85</f>
        <v>961</v>
      </c>
    </row>
    <row r="86" spans="1:8" x14ac:dyDescent="0.25">
      <c r="A86" s="1">
        <v>3</v>
      </c>
      <c r="B86" s="1" t="s">
        <v>116</v>
      </c>
      <c r="C86" s="1">
        <v>5</v>
      </c>
      <c r="D86" s="1">
        <v>36</v>
      </c>
      <c r="E86" s="1">
        <f t="shared" si="8"/>
        <v>1296</v>
      </c>
      <c r="F86" s="1">
        <f t="shared" si="9"/>
        <v>180</v>
      </c>
      <c r="G86" s="1">
        <f t="shared" si="10"/>
        <v>6480</v>
      </c>
    </row>
    <row r="87" spans="1:8" x14ac:dyDescent="0.25">
      <c r="A87" s="1">
        <v>4</v>
      </c>
      <c r="B87" s="1" t="s">
        <v>117</v>
      </c>
      <c r="C87" s="1">
        <v>0</v>
      </c>
      <c r="D87" s="1">
        <v>41</v>
      </c>
      <c r="E87" s="1">
        <f t="shared" si="8"/>
        <v>1681</v>
      </c>
      <c r="F87" s="1">
        <f t="shared" si="9"/>
        <v>0</v>
      </c>
      <c r="G87" s="1">
        <f t="shared" si="10"/>
        <v>0</v>
      </c>
    </row>
    <row r="88" spans="1:8" x14ac:dyDescent="0.25">
      <c r="A88" s="1">
        <v>5</v>
      </c>
      <c r="B88" s="1" t="s">
        <v>118</v>
      </c>
      <c r="C88" s="1">
        <v>2</v>
      </c>
      <c r="D88" s="1">
        <v>46</v>
      </c>
      <c r="E88" s="1">
        <f t="shared" si="8"/>
        <v>2116</v>
      </c>
      <c r="F88" s="1">
        <f t="shared" si="9"/>
        <v>92</v>
      </c>
      <c r="G88" s="1">
        <f t="shared" si="10"/>
        <v>4232</v>
      </c>
    </row>
    <row r="89" spans="1:8" x14ac:dyDescent="0.25">
      <c r="C89">
        <f>SUM(C84:C88)</f>
        <v>15</v>
      </c>
      <c r="D89">
        <f t="shared" ref="D89:G89" si="11">SUM(D84:D88)</f>
        <v>180</v>
      </c>
      <c r="E89">
        <f t="shared" si="11"/>
        <v>6730</v>
      </c>
      <c r="F89">
        <f t="shared" si="11"/>
        <v>485</v>
      </c>
      <c r="G89">
        <f t="shared" si="11"/>
        <v>16405</v>
      </c>
    </row>
    <row r="90" spans="1:8" x14ac:dyDescent="0.25">
      <c r="A90" t="s">
        <v>119</v>
      </c>
      <c r="C90" s="5">
        <f>F89/C89</f>
        <v>32.333333333333336</v>
      </c>
    </row>
    <row r="91" spans="1:8" x14ac:dyDescent="0.25">
      <c r="A91" t="s">
        <v>120</v>
      </c>
      <c r="C91" s="5">
        <f>SQRT((C89*G89-F89^2)/(C89*(C89-1)))</f>
        <v>7.1879528842826081</v>
      </c>
    </row>
    <row r="93" spans="1:8" x14ac:dyDescent="0.25">
      <c r="A93" t="s">
        <v>121</v>
      </c>
    </row>
    <row r="94" spans="1:8" x14ac:dyDescent="0.25">
      <c r="A94" t="s">
        <v>122</v>
      </c>
      <c r="C94">
        <v>23.5</v>
      </c>
      <c r="D94">
        <v>28.5</v>
      </c>
      <c r="E94">
        <v>33.5</v>
      </c>
      <c r="F94">
        <v>38.5</v>
      </c>
      <c r="G94">
        <v>43.5</v>
      </c>
      <c r="H94">
        <v>48.5</v>
      </c>
    </row>
    <row r="95" spans="1:8" x14ac:dyDescent="0.25">
      <c r="A95" t="s">
        <v>123</v>
      </c>
      <c r="C95" s="5">
        <f>(C94-C90)/C91</f>
        <v>-1.2289080737644462</v>
      </c>
      <c r="D95" s="5">
        <f>(D94-C90)/C91</f>
        <v>-0.53329973012419385</v>
      </c>
      <c r="E95" s="5">
        <f>(E94-C90)/C91</f>
        <v>0.16230861351605858</v>
      </c>
      <c r="F95" s="5">
        <f>(F94-C90)/C91</f>
        <v>0.857916957156311</v>
      </c>
      <c r="G95" s="5">
        <f>(G94-C90)/C91</f>
        <v>1.5535253007965635</v>
      </c>
      <c r="H95" s="5">
        <f>(H94-C90)/C91</f>
        <v>2.249133644436816</v>
      </c>
    </row>
    <row r="96" spans="1:8" x14ac:dyDescent="0.25">
      <c r="A96" t="s">
        <v>124</v>
      </c>
      <c r="C96">
        <v>0.39069999999999999</v>
      </c>
      <c r="D96">
        <v>0.2019</v>
      </c>
      <c r="E96">
        <v>6.3600000000000004E-2</v>
      </c>
      <c r="F96">
        <v>0.30509999999999998</v>
      </c>
      <c r="G96">
        <v>0.43940000000000001</v>
      </c>
      <c r="H96">
        <v>0.48780000000000001</v>
      </c>
    </row>
    <row r="97" spans="1:15" x14ac:dyDescent="0.25">
      <c r="A97" t="s">
        <v>125</v>
      </c>
      <c r="C97" s="6">
        <f>C96-D96</f>
        <v>0.1888</v>
      </c>
    </row>
    <row r="98" spans="1:15" x14ac:dyDescent="0.25">
      <c r="C98" s="6">
        <f>D96-E96</f>
        <v>0.13829999999999998</v>
      </c>
      <c r="J98">
        <v>0.39069999999999999</v>
      </c>
      <c r="K98">
        <v>0.2019</v>
      </c>
      <c r="L98">
        <v>6.3600000000000004E-2</v>
      </c>
      <c r="M98">
        <v>0.30509999999999998</v>
      </c>
      <c r="N98">
        <v>0.43940000000000001</v>
      </c>
      <c r="O98">
        <v>0.48780000000000001</v>
      </c>
    </row>
    <row r="99" spans="1:15" x14ac:dyDescent="0.25">
      <c r="C99" s="6">
        <f>E96+F96</f>
        <v>0.36869999999999997</v>
      </c>
    </row>
    <row r="100" spans="1:15" x14ac:dyDescent="0.25">
      <c r="C100" s="6">
        <f>F96-G96</f>
        <v>-0.13430000000000003</v>
      </c>
    </row>
    <row r="101" spans="1:15" x14ac:dyDescent="0.25">
      <c r="C101" s="6">
        <f>G96-H96</f>
        <v>-4.8399999999999999E-2</v>
      </c>
    </row>
    <row r="102" spans="1:15" x14ac:dyDescent="0.25">
      <c r="A102" t="s">
        <v>126</v>
      </c>
    </row>
    <row r="103" spans="1:15" x14ac:dyDescent="0.25">
      <c r="B103">
        <v>0.1888</v>
      </c>
      <c r="C103">
        <v>15</v>
      </c>
      <c r="D103" s="6">
        <f>B103*C103</f>
        <v>2.8319999999999999</v>
      </c>
    </row>
    <row r="104" spans="1:15" x14ac:dyDescent="0.25">
      <c r="B104">
        <v>0.13829999999999998</v>
      </c>
      <c r="C104">
        <v>15</v>
      </c>
      <c r="D104" s="6">
        <f t="shared" ref="D104:D107" si="12">B104*C104</f>
        <v>2.0744999999999996</v>
      </c>
    </row>
    <row r="105" spans="1:15" x14ac:dyDescent="0.25">
      <c r="B105">
        <v>0.36869999999999997</v>
      </c>
      <c r="C105">
        <v>15</v>
      </c>
      <c r="D105" s="6">
        <f t="shared" si="12"/>
        <v>5.5305</v>
      </c>
    </row>
    <row r="106" spans="1:15" x14ac:dyDescent="0.25">
      <c r="B106">
        <v>-0.13430000000000003</v>
      </c>
      <c r="C106">
        <v>15</v>
      </c>
      <c r="D106" s="6">
        <f t="shared" si="12"/>
        <v>-2.0145000000000004</v>
      </c>
    </row>
    <row r="107" spans="1:15" x14ac:dyDescent="0.25">
      <c r="B107">
        <v>-4.8399999999999999E-2</v>
      </c>
      <c r="C107">
        <v>15</v>
      </c>
      <c r="D107" s="6">
        <f t="shared" si="12"/>
        <v>-0.72599999999999998</v>
      </c>
    </row>
    <row r="108" spans="1:15" x14ac:dyDescent="0.25">
      <c r="A108" s="6" t="s">
        <v>127</v>
      </c>
    </row>
    <row r="109" spans="1:15" x14ac:dyDescent="0.25">
      <c r="A109" s="33" t="s">
        <v>1</v>
      </c>
      <c r="B109" s="33" t="s">
        <v>128</v>
      </c>
      <c r="C109" s="33" t="s">
        <v>129</v>
      </c>
      <c r="D109" s="33" t="s">
        <v>130</v>
      </c>
      <c r="E109" s="33" t="s">
        <v>131</v>
      </c>
      <c r="F109" s="33" t="s">
        <v>132</v>
      </c>
      <c r="G109" s="33" t="s">
        <v>133</v>
      </c>
    </row>
    <row r="110" spans="1:15" x14ac:dyDescent="0.25">
      <c r="A110" s="1">
        <v>1</v>
      </c>
      <c r="B110" s="38">
        <v>23.5</v>
      </c>
      <c r="C110" s="23">
        <v>-1.2289080737644462</v>
      </c>
      <c r="D110" s="1">
        <v>0.39069999999999999</v>
      </c>
      <c r="E110" s="1">
        <v>0.1888</v>
      </c>
      <c r="F110" s="1">
        <v>2.8319999999999999</v>
      </c>
      <c r="G110" s="1">
        <v>7</v>
      </c>
    </row>
    <row r="111" spans="1:15" x14ac:dyDescent="0.25">
      <c r="A111" s="1">
        <v>2</v>
      </c>
      <c r="B111" s="38">
        <v>28.5</v>
      </c>
      <c r="C111" s="23">
        <v>-0.53329973012419385</v>
      </c>
      <c r="D111" s="1">
        <v>0.2019</v>
      </c>
      <c r="E111" s="1">
        <v>0.13829999999999998</v>
      </c>
      <c r="F111" s="1">
        <v>2.0744999999999996</v>
      </c>
      <c r="G111" s="1">
        <v>1</v>
      </c>
    </row>
    <row r="112" spans="1:15" x14ac:dyDescent="0.25">
      <c r="A112" s="1">
        <v>3</v>
      </c>
      <c r="B112" s="38">
        <v>33.5</v>
      </c>
      <c r="C112" s="23">
        <v>0.16230861351605858</v>
      </c>
      <c r="D112" s="1">
        <v>6.3600000000000004E-2</v>
      </c>
      <c r="E112" s="1">
        <v>0.36869999999999997</v>
      </c>
      <c r="F112" s="1">
        <v>5.5305</v>
      </c>
      <c r="G112" s="1">
        <v>5</v>
      </c>
    </row>
    <row r="113" spans="1:19" x14ac:dyDescent="0.25">
      <c r="A113" s="1">
        <v>4</v>
      </c>
      <c r="B113" s="38">
        <v>38.5</v>
      </c>
      <c r="C113" s="23">
        <v>0.857916957156311</v>
      </c>
      <c r="D113" s="1">
        <v>0.30509999999999998</v>
      </c>
      <c r="E113" s="1">
        <v>-0.13430000000000003</v>
      </c>
      <c r="F113" s="1">
        <v>-2.0145000000000004</v>
      </c>
      <c r="G113" s="1">
        <v>0</v>
      </c>
    </row>
    <row r="114" spans="1:19" x14ac:dyDescent="0.25">
      <c r="A114" s="1">
        <v>5</v>
      </c>
      <c r="B114" s="38">
        <v>43.5</v>
      </c>
      <c r="C114" s="23">
        <v>1.5535253007965635</v>
      </c>
      <c r="D114" s="1">
        <v>0.43940000000000001</v>
      </c>
      <c r="E114" s="1">
        <v>-4.8399999999999999E-2</v>
      </c>
      <c r="F114" s="1">
        <v>-0.72599999999999998</v>
      </c>
      <c r="G114" s="1">
        <v>2</v>
      </c>
    </row>
    <row r="115" spans="1:19" x14ac:dyDescent="0.25">
      <c r="A115" s="1"/>
      <c r="B115">
        <v>48.5</v>
      </c>
      <c r="C115" s="23">
        <v>2.249133644436816</v>
      </c>
      <c r="D115" s="1">
        <v>0.48780000000000001</v>
      </c>
      <c r="E115" s="1"/>
      <c r="F115" s="1"/>
      <c r="G115" s="1"/>
    </row>
    <row r="116" spans="1:19" x14ac:dyDescent="0.25">
      <c r="A116" s="1"/>
      <c r="B116" s="1"/>
      <c r="C116" s="1"/>
      <c r="D116" s="1"/>
      <c r="E116" s="1"/>
      <c r="F116" s="1"/>
      <c r="G116" s="1">
        <f>SUM(G110:G115)</f>
        <v>15</v>
      </c>
    </row>
    <row r="118" spans="1:19" x14ac:dyDescent="0.25">
      <c r="A118" t="s">
        <v>134</v>
      </c>
    </row>
    <row r="119" spans="1:19" x14ac:dyDescent="0.25">
      <c r="A119" t="s">
        <v>135</v>
      </c>
      <c r="B119" s="5">
        <f>((G110-F110)^2/F110)+((G111-F111)^2/F111)+((G112-F112)^2/F112)+((G113-F113)^2/F113)+((G114-F114)^2/F114)</f>
        <v>-5.5084511751582781</v>
      </c>
      <c r="G119" s="16" t="s">
        <v>65</v>
      </c>
      <c r="H119" s="16" t="s">
        <v>66</v>
      </c>
      <c r="I119" s="16" t="s">
        <v>72</v>
      </c>
      <c r="J119" s="16"/>
      <c r="K119" s="16" t="s">
        <v>51</v>
      </c>
      <c r="L119" s="16" t="s">
        <v>76</v>
      </c>
      <c r="M119" s="16"/>
      <c r="N119" s="16" t="s">
        <v>67</v>
      </c>
      <c r="O119" s="21" t="s">
        <v>79</v>
      </c>
      <c r="Q119" s="34" t="s">
        <v>144</v>
      </c>
      <c r="S119" s="34" t="s">
        <v>145</v>
      </c>
    </row>
    <row r="120" spans="1:19" x14ac:dyDescent="0.25">
      <c r="G120" s="2">
        <v>1</v>
      </c>
      <c r="H120" s="2">
        <v>28</v>
      </c>
      <c r="I120" s="2">
        <f>H120^2</f>
        <v>784</v>
      </c>
      <c r="J120" s="2"/>
      <c r="K120" s="2">
        <v>28</v>
      </c>
      <c r="L120" s="2">
        <f>K120^2</f>
        <v>784</v>
      </c>
      <c r="M120" s="2"/>
      <c r="N120" s="2">
        <v>43</v>
      </c>
      <c r="O120" s="2">
        <f>N120^2</f>
        <v>1849</v>
      </c>
      <c r="Q120">
        <f>H120*N120</f>
        <v>1204</v>
      </c>
      <c r="S120">
        <f>K120*N120</f>
        <v>1204</v>
      </c>
    </row>
    <row r="121" spans="1:19" x14ac:dyDescent="0.25">
      <c r="A121" t="s">
        <v>136</v>
      </c>
      <c r="G121" s="2">
        <f>G120+1</f>
        <v>2</v>
      </c>
      <c r="H121" s="2">
        <v>38</v>
      </c>
      <c r="I121" s="2">
        <f t="shared" ref="I121:I134" si="13">H121^2</f>
        <v>1444</v>
      </c>
      <c r="J121" s="2"/>
      <c r="K121" s="2">
        <v>46</v>
      </c>
      <c r="L121" s="2">
        <f t="shared" ref="L121:L134" si="14">K121^2</f>
        <v>2116</v>
      </c>
      <c r="M121" s="2"/>
      <c r="N121" s="2">
        <v>68</v>
      </c>
      <c r="O121" s="2">
        <f t="shared" ref="O121:O134" si="15">N121^2</f>
        <v>4624</v>
      </c>
      <c r="Q121">
        <f t="shared" ref="Q121:Q134" si="16">H121*N121</f>
        <v>2584</v>
      </c>
      <c r="S121">
        <f t="shared" ref="S121:S134" si="17">K121*N121</f>
        <v>3128</v>
      </c>
    </row>
    <row r="122" spans="1:19" x14ac:dyDescent="0.25">
      <c r="A122" t="s">
        <v>137</v>
      </c>
      <c r="C122" t="s">
        <v>138</v>
      </c>
      <c r="D122" t="s">
        <v>140</v>
      </c>
      <c r="E122" t="s">
        <v>139</v>
      </c>
      <c r="G122" s="2">
        <f t="shared" ref="G122:G134" si="18">G121+1</f>
        <v>3</v>
      </c>
      <c r="H122" s="2">
        <v>32</v>
      </c>
      <c r="I122" s="2">
        <f t="shared" si="13"/>
        <v>1024</v>
      </c>
      <c r="J122" s="2"/>
      <c r="K122" s="2">
        <v>31</v>
      </c>
      <c r="L122" s="2">
        <f t="shared" si="14"/>
        <v>961</v>
      </c>
      <c r="M122" s="2"/>
      <c r="N122" s="2">
        <v>47</v>
      </c>
      <c r="O122" s="2">
        <f t="shared" si="15"/>
        <v>2209</v>
      </c>
      <c r="Q122">
        <f t="shared" si="16"/>
        <v>1504</v>
      </c>
      <c r="S122">
        <f t="shared" si="17"/>
        <v>1457</v>
      </c>
    </row>
    <row r="123" spans="1:19" x14ac:dyDescent="0.25">
      <c r="A123" s="5">
        <f>B119</f>
        <v>-5.5084511751582781</v>
      </c>
      <c r="B123" s="7" t="s">
        <v>166</v>
      </c>
      <c r="C123">
        <v>5.99</v>
      </c>
      <c r="G123" s="2">
        <f t="shared" si="18"/>
        <v>4</v>
      </c>
      <c r="H123" s="2">
        <v>24</v>
      </c>
      <c r="I123" s="2">
        <f t="shared" si="13"/>
        <v>576</v>
      </c>
      <c r="J123" s="2"/>
      <c r="K123" s="2">
        <v>24</v>
      </c>
      <c r="L123" s="2">
        <f t="shared" si="14"/>
        <v>576</v>
      </c>
      <c r="M123" s="2"/>
      <c r="N123" s="2">
        <v>38</v>
      </c>
      <c r="O123" s="2">
        <f t="shared" si="15"/>
        <v>1444</v>
      </c>
      <c r="Q123">
        <f t="shared" si="16"/>
        <v>912</v>
      </c>
      <c r="S123">
        <f t="shared" si="17"/>
        <v>912</v>
      </c>
    </row>
    <row r="124" spans="1:19" x14ac:dyDescent="0.25">
      <c r="G124" s="2">
        <f t="shared" si="18"/>
        <v>5</v>
      </c>
      <c r="H124" s="2">
        <v>36</v>
      </c>
      <c r="I124" s="2">
        <f t="shared" si="13"/>
        <v>1296</v>
      </c>
      <c r="J124" s="2"/>
      <c r="K124" s="2">
        <v>36</v>
      </c>
      <c r="L124" s="2">
        <f t="shared" si="14"/>
        <v>1296</v>
      </c>
      <c r="M124" s="2"/>
      <c r="N124" s="2">
        <v>54</v>
      </c>
      <c r="O124" s="2">
        <f t="shared" si="15"/>
        <v>2916</v>
      </c>
      <c r="Q124">
        <f t="shared" si="16"/>
        <v>1944</v>
      </c>
      <c r="S124">
        <f t="shared" si="17"/>
        <v>1944</v>
      </c>
    </row>
    <row r="125" spans="1:19" x14ac:dyDescent="0.25">
      <c r="A125" s="6" t="s">
        <v>167</v>
      </c>
      <c r="G125" s="2">
        <f t="shared" si="18"/>
        <v>6</v>
      </c>
      <c r="H125" s="2">
        <v>26</v>
      </c>
      <c r="I125" s="2">
        <f t="shared" si="13"/>
        <v>676</v>
      </c>
      <c r="J125" s="2"/>
      <c r="K125" s="2">
        <v>29</v>
      </c>
      <c r="L125" s="2">
        <f t="shared" si="14"/>
        <v>841</v>
      </c>
      <c r="M125" s="2"/>
      <c r="N125" s="2">
        <v>45</v>
      </c>
      <c r="O125" s="2">
        <f t="shared" si="15"/>
        <v>2025</v>
      </c>
      <c r="Q125">
        <f t="shared" si="16"/>
        <v>1170</v>
      </c>
      <c r="S125">
        <f t="shared" si="17"/>
        <v>1305</v>
      </c>
    </row>
    <row r="126" spans="1:19" x14ac:dyDescent="0.25">
      <c r="G126" s="2">
        <f t="shared" si="18"/>
        <v>7</v>
      </c>
      <c r="H126" s="2">
        <v>44</v>
      </c>
      <c r="I126" s="2">
        <f t="shared" si="13"/>
        <v>1936</v>
      </c>
      <c r="J126" s="2"/>
      <c r="K126" s="2">
        <v>44</v>
      </c>
      <c r="L126" s="2">
        <f t="shared" si="14"/>
        <v>1936</v>
      </c>
      <c r="M126" s="2"/>
      <c r="N126" s="2">
        <v>66</v>
      </c>
      <c r="O126" s="2">
        <f t="shared" si="15"/>
        <v>4356</v>
      </c>
      <c r="Q126">
        <f t="shared" si="16"/>
        <v>2904</v>
      </c>
      <c r="S126">
        <f t="shared" si="17"/>
        <v>2904</v>
      </c>
    </row>
    <row r="127" spans="1:19" x14ac:dyDescent="0.25">
      <c r="G127" s="2">
        <f t="shared" si="18"/>
        <v>8</v>
      </c>
      <c r="H127" s="2">
        <v>36</v>
      </c>
      <c r="I127" s="2">
        <f t="shared" si="13"/>
        <v>1296</v>
      </c>
      <c r="J127" s="2"/>
      <c r="K127" s="2">
        <v>42</v>
      </c>
      <c r="L127" s="2">
        <f t="shared" si="14"/>
        <v>1764</v>
      </c>
      <c r="M127" s="2"/>
      <c r="N127" s="2">
        <v>63</v>
      </c>
      <c r="O127" s="2">
        <f t="shared" si="15"/>
        <v>3969</v>
      </c>
      <c r="Q127">
        <f t="shared" si="16"/>
        <v>2268</v>
      </c>
      <c r="S127">
        <f t="shared" si="17"/>
        <v>2646</v>
      </c>
    </row>
    <row r="128" spans="1:19" x14ac:dyDescent="0.25">
      <c r="A128" s="6" t="s">
        <v>141</v>
      </c>
      <c r="B128" s="35"/>
      <c r="C128" s="35"/>
      <c r="D128" s="35"/>
      <c r="G128" s="2">
        <f t="shared" si="18"/>
        <v>9</v>
      </c>
      <c r="H128" s="2">
        <v>36</v>
      </c>
      <c r="I128" s="2">
        <f t="shared" si="13"/>
        <v>1296</v>
      </c>
      <c r="J128" s="2"/>
      <c r="K128" s="2">
        <v>42</v>
      </c>
      <c r="L128" s="2">
        <f t="shared" si="14"/>
        <v>1764</v>
      </c>
      <c r="M128" s="2"/>
      <c r="N128" s="2">
        <v>63</v>
      </c>
      <c r="O128" s="2">
        <f t="shared" si="15"/>
        <v>3969</v>
      </c>
      <c r="Q128">
        <f t="shared" si="16"/>
        <v>2268</v>
      </c>
      <c r="S128">
        <f t="shared" si="17"/>
        <v>2646</v>
      </c>
    </row>
    <row r="129" spans="1:19" x14ac:dyDescent="0.25">
      <c r="A129" s="6" t="s">
        <v>153</v>
      </c>
      <c r="B129" s="35"/>
      <c r="C129" s="35"/>
      <c r="D129" s="35"/>
      <c r="G129" s="2">
        <f t="shared" si="18"/>
        <v>10</v>
      </c>
      <c r="H129" s="2">
        <v>24</v>
      </c>
      <c r="I129" s="2">
        <f t="shared" si="13"/>
        <v>576</v>
      </c>
      <c r="J129" s="2"/>
      <c r="K129" s="2">
        <v>29</v>
      </c>
      <c r="L129" s="2">
        <f t="shared" si="14"/>
        <v>841</v>
      </c>
      <c r="M129" s="2"/>
      <c r="N129" s="2">
        <v>45</v>
      </c>
      <c r="O129" s="2">
        <f t="shared" si="15"/>
        <v>2025</v>
      </c>
      <c r="Q129">
        <f t="shared" si="16"/>
        <v>1080</v>
      </c>
      <c r="S129">
        <f t="shared" si="17"/>
        <v>1305</v>
      </c>
    </row>
    <row r="130" spans="1:19" x14ac:dyDescent="0.25">
      <c r="A130" t="s">
        <v>143</v>
      </c>
      <c r="B130" s="35"/>
      <c r="C130" s="35"/>
      <c r="D130" s="35">
        <f>H19^2/A19</f>
        <v>41186.400000000001</v>
      </c>
      <c r="G130" s="2">
        <f t="shared" si="18"/>
        <v>11</v>
      </c>
      <c r="H130" s="2">
        <v>24</v>
      </c>
      <c r="I130" s="2">
        <f t="shared" si="13"/>
        <v>576</v>
      </c>
      <c r="J130" s="2"/>
      <c r="K130" s="2">
        <v>26</v>
      </c>
      <c r="L130" s="2">
        <f t="shared" si="14"/>
        <v>676</v>
      </c>
      <c r="M130" s="2"/>
      <c r="N130" s="2">
        <v>41</v>
      </c>
      <c r="O130" s="2">
        <f t="shared" si="15"/>
        <v>1681</v>
      </c>
      <c r="Q130">
        <f t="shared" si="16"/>
        <v>984</v>
      </c>
      <c r="S130">
        <f t="shared" si="17"/>
        <v>1066</v>
      </c>
    </row>
    <row r="131" spans="1:19" x14ac:dyDescent="0.25">
      <c r="A131" t="s">
        <v>142</v>
      </c>
      <c r="B131" s="35"/>
      <c r="C131" s="35"/>
      <c r="D131" s="35">
        <f>Q131*(K19-(B19*H19/A19))</f>
        <v>2486568</v>
      </c>
      <c r="G131" s="2">
        <f t="shared" si="18"/>
        <v>12</v>
      </c>
      <c r="H131" s="2">
        <v>38</v>
      </c>
      <c r="I131" s="2">
        <f t="shared" si="13"/>
        <v>1444</v>
      </c>
      <c r="J131" s="2"/>
      <c r="K131" s="2">
        <v>38</v>
      </c>
      <c r="L131" s="2">
        <f t="shared" si="14"/>
        <v>1444</v>
      </c>
      <c r="M131" s="2"/>
      <c r="N131" s="2">
        <v>57</v>
      </c>
      <c r="O131" s="2">
        <f t="shared" si="15"/>
        <v>3249</v>
      </c>
      <c r="Q131">
        <f t="shared" si="16"/>
        <v>2166</v>
      </c>
      <c r="S131">
        <f t="shared" si="17"/>
        <v>2166</v>
      </c>
    </row>
    <row r="132" spans="1:19" x14ac:dyDescent="0.25">
      <c r="A132" t="s">
        <v>148</v>
      </c>
      <c r="B132" s="35"/>
      <c r="C132" s="35"/>
      <c r="D132" s="35">
        <f>I19-D131-D130</f>
        <v>-2484784.4</v>
      </c>
      <c r="G132" s="2">
        <f t="shared" si="18"/>
        <v>13</v>
      </c>
      <c r="H132" s="2">
        <v>27</v>
      </c>
      <c r="I132" s="2">
        <f t="shared" si="13"/>
        <v>729</v>
      </c>
      <c r="J132" s="2"/>
      <c r="K132" s="2">
        <v>27</v>
      </c>
      <c r="L132" s="2">
        <f t="shared" si="14"/>
        <v>729</v>
      </c>
      <c r="M132" s="2"/>
      <c r="N132" s="2">
        <v>42</v>
      </c>
      <c r="O132" s="2">
        <f t="shared" si="15"/>
        <v>1764</v>
      </c>
      <c r="Q132">
        <f t="shared" si="16"/>
        <v>1134</v>
      </c>
      <c r="S132">
        <f t="shared" si="17"/>
        <v>1134</v>
      </c>
    </row>
    <row r="133" spans="1:19" x14ac:dyDescent="0.25">
      <c r="A133" t="s">
        <v>149</v>
      </c>
      <c r="B133" s="35"/>
      <c r="C133" s="35"/>
      <c r="D133" s="35"/>
      <c r="E133">
        <f>D130</f>
        <v>41186.400000000001</v>
      </c>
      <c r="G133" s="2">
        <f t="shared" si="18"/>
        <v>14</v>
      </c>
      <c r="H133" s="2">
        <v>48</v>
      </c>
      <c r="I133" s="2">
        <f t="shared" si="13"/>
        <v>2304</v>
      </c>
      <c r="J133" s="2"/>
      <c r="K133" s="2">
        <v>48</v>
      </c>
      <c r="L133" s="2">
        <f t="shared" si="14"/>
        <v>2304</v>
      </c>
      <c r="M133" s="2"/>
      <c r="N133" s="2">
        <v>71</v>
      </c>
      <c r="O133" s="2">
        <f t="shared" si="15"/>
        <v>5041</v>
      </c>
      <c r="Q133">
        <f t="shared" si="16"/>
        <v>3408</v>
      </c>
      <c r="S133">
        <f t="shared" si="17"/>
        <v>3408</v>
      </c>
    </row>
    <row r="134" spans="1:19" x14ac:dyDescent="0.25">
      <c r="A134" t="s">
        <v>150</v>
      </c>
      <c r="B134" s="35"/>
      <c r="C134" s="35"/>
      <c r="D134" s="35"/>
      <c r="E134">
        <f>D131</f>
        <v>2486568</v>
      </c>
      <c r="G134" s="2">
        <f t="shared" si="18"/>
        <v>15</v>
      </c>
      <c r="H134" s="2">
        <v>24</v>
      </c>
      <c r="I134" s="2">
        <f t="shared" si="13"/>
        <v>576</v>
      </c>
      <c r="J134" s="2"/>
      <c r="K134" s="2">
        <v>28</v>
      </c>
      <c r="L134" s="2">
        <f t="shared" si="14"/>
        <v>784</v>
      </c>
      <c r="M134" s="2"/>
      <c r="N134" s="2">
        <v>43</v>
      </c>
      <c r="O134" s="2">
        <f t="shared" si="15"/>
        <v>1849</v>
      </c>
      <c r="Q134">
        <f t="shared" si="16"/>
        <v>1032</v>
      </c>
      <c r="S134">
        <f t="shared" si="17"/>
        <v>1204</v>
      </c>
    </row>
    <row r="135" spans="1:19" x14ac:dyDescent="0.25">
      <c r="A135" t="s">
        <v>151</v>
      </c>
      <c r="B135" s="35"/>
      <c r="C135" s="35"/>
      <c r="D135" s="35"/>
      <c r="E135">
        <f>D132/(A19-2)</f>
        <v>-191137.26153846152</v>
      </c>
      <c r="G135" s="20" t="s">
        <v>70</v>
      </c>
      <c r="H135" s="20" t="s">
        <v>71</v>
      </c>
      <c r="I135" s="20" t="s">
        <v>73</v>
      </c>
      <c r="J135" s="20"/>
      <c r="K135" s="20" t="s">
        <v>82</v>
      </c>
      <c r="L135" s="20" t="s">
        <v>83</v>
      </c>
      <c r="M135" s="20"/>
      <c r="N135" s="20" t="s">
        <v>80</v>
      </c>
      <c r="O135" s="20" t="s">
        <v>81</v>
      </c>
      <c r="Q135" s="26" t="s">
        <v>146</v>
      </c>
      <c r="S135" s="26" t="s">
        <v>147</v>
      </c>
    </row>
    <row r="136" spans="1:19" x14ac:dyDescent="0.25">
      <c r="A136" t="s">
        <v>152</v>
      </c>
      <c r="B136" s="35"/>
      <c r="C136" s="35"/>
      <c r="D136" s="35"/>
      <c r="E136">
        <f>(D138^2+D139^2+D140^2+D141^2)-((D138+D139+D140+D141)^2/4)+(D142^2-D142^2/1)+(D143^2-D143^2/1)+(D144^2-D144^2/1)+(D145^2-D145^2/1)+(D146^2+D147^2+D148^2)-((D146+D147+D148)^2/3)+(D149^2+D150^2)-((D149+D150)^2/2)+(D151^2-D151^2/1)+(D152^2-D152^2/1)</f>
        <v>141.25</v>
      </c>
      <c r="G136" s="20">
        <v>15</v>
      </c>
      <c r="H136" s="20">
        <f>SUM(H120:H134)</f>
        <v>485</v>
      </c>
      <c r="I136" s="20">
        <f>SUM(I120:I134)</f>
        <v>16533</v>
      </c>
      <c r="J136" s="20"/>
      <c r="K136" s="20">
        <f>SUM(K120:K134)</f>
        <v>518</v>
      </c>
      <c r="L136" s="20">
        <f>SUM(L120:L134)</f>
        <v>18816</v>
      </c>
      <c r="M136" s="20"/>
      <c r="N136" s="20">
        <f>SUM(N120:N134)</f>
        <v>786</v>
      </c>
      <c r="O136" s="20">
        <f>SUM(O120:O134)</f>
        <v>42970</v>
      </c>
      <c r="Q136">
        <f>SUM(Q120:Q134)</f>
        <v>26562</v>
      </c>
      <c r="S136">
        <f>SUM(S120:S134)</f>
        <v>28429</v>
      </c>
    </row>
    <row r="137" spans="1:19" x14ac:dyDescent="0.25">
      <c r="A137" s="33" t="s">
        <v>156</v>
      </c>
      <c r="B137" s="16" t="s">
        <v>65</v>
      </c>
      <c r="C137" s="16" t="s">
        <v>66</v>
      </c>
      <c r="D137" s="16" t="s">
        <v>67</v>
      </c>
      <c r="E137" s="21" t="s">
        <v>70</v>
      </c>
    </row>
    <row r="138" spans="1:19" x14ac:dyDescent="0.25">
      <c r="A138" s="1">
        <v>1</v>
      </c>
      <c r="B138" s="1">
        <v>1</v>
      </c>
      <c r="C138" s="1">
        <v>24</v>
      </c>
      <c r="D138" s="1">
        <v>38</v>
      </c>
      <c r="E138" s="36">
        <v>4</v>
      </c>
    </row>
    <row r="139" spans="1:19" x14ac:dyDescent="0.25">
      <c r="A139" s="1"/>
      <c r="B139" s="1">
        <v>2</v>
      </c>
      <c r="C139" s="1">
        <v>24</v>
      </c>
      <c r="D139" s="1">
        <v>45</v>
      </c>
      <c r="E139" s="1"/>
    </row>
    <row r="140" spans="1:19" x14ac:dyDescent="0.25">
      <c r="A140" s="1"/>
      <c r="B140" s="1">
        <v>3</v>
      </c>
      <c r="C140" s="1">
        <v>24</v>
      </c>
      <c r="D140" s="1">
        <v>41</v>
      </c>
      <c r="E140" s="1"/>
    </row>
    <row r="141" spans="1:19" x14ac:dyDescent="0.25">
      <c r="A141" s="1"/>
      <c r="B141" s="1">
        <v>4</v>
      </c>
      <c r="C141" s="1">
        <v>24</v>
      </c>
      <c r="D141" s="1">
        <v>43</v>
      </c>
      <c r="E141" s="1"/>
    </row>
    <row r="142" spans="1:19" x14ac:dyDescent="0.25">
      <c r="A142" s="1">
        <v>2</v>
      </c>
      <c r="B142" s="1">
        <v>5</v>
      </c>
      <c r="C142" s="1">
        <v>26</v>
      </c>
      <c r="D142" s="1">
        <v>45</v>
      </c>
      <c r="E142" s="36">
        <v>1</v>
      </c>
    </row>
    <row r="143" spans="1:19" x14ac:dyDescent="0.25">
      <c r="A143" s="1">
        <v>3</v>
      </c>
      <c r="B143" s="1">
        <v>6</v>
      </c>
      <c r="C143" s="1">
        <v>27</v>
      </c>
      <c r="D143" s="1">
        <v>42</v>
      </c>
      <c r="E143" s="36">
        <v>1</v>
      </c>
    </row>
    <row r="144" spans="1:19" x14ac:dyDescent="0.25">
      <c r="A144" s="1">
        <v>4</v>
      </c>
      <c r="B144" s="1">
        <v>7</v>
      </c>
      <c r="C144" s="1">
        <v>28</v>
      </c>
      <c r="D144" s="1">
        <v>43</v>
      </c>
      <c r="E144" s="36">
        <v>1</v>
      </c>
    </row>
    <row r="145" spans="1:5" x14ac:dyDescent="0.25">
      <c r="A145" s="1">
        <v>5</v>
      </c>
      <c r="B145" s="1">
        <v>8</v>
      </c>
      <c r="C145" s="1">
        <v>32</v>
      </c>
      <c r="D145" s="1">
        <v>47</v>
      </c>
      <c r="E145" s="36">
        <v>1</v>
      </c>
    </row>
    <row r="146" spans="1:5" x14ac:dyDescent="0.25">
      <c r="A146" s="1">
        <v>6</v>
      </c>
      <c r="B146" s="1">
        <v>9</v>
      </c>
      <c r="C146" s="1">
        <v>36</v>
      </c>
      <c r="D146" s="1">
        <v>54</v>
      </c>
      <c r="E146" s="36">
        <v>3</v>
      </c>
    </row>
    <row r="147" spans="1:5" x14ac:dyDescent="0.25">
      <c r="A147" s="1"/>
      <c r="B147" s="1">
        <v>10</v>
      </c>
      <c r="C147" s="1">
        <v>36</v>
      </c>
      <c r="D147" s="1">
        <v>63</v>
      </c>
      <c r="E147" s="1"/>
    </row>
    <row r="148" spans="1:5" x14ac:dyDescent="0.25">
      <c r="A148" s="1"/>
      <c r="B148" s="1">
        <v>11</v>
      </c>
      <c r="C148" s="1">
        <v>36</v>
      </c>
      <c r="D148" s="1">
        <v>63</v>
      </c>
      <c r="E148" s="1"/>
    </row>
    <row r="149" spans="1:5" x14ac:dyDescent="0.25">
      <c r="A149" s="1">
        <v>7</v>
      </c>
      <c r="B149" s="1">
        <v>12</v>
      </c>
      <c r="C149" s="1">
        <v>38</v>
      </c>
      <c r="D149" s="1">
        <v>68</v>
      </c>
      <c r="E149" s="36">
        <v>2</v>
      </c>
    </row>
    <row r="150" spans="1:5" x14ac:dyDescent="0.25">
      <c r="A150" s="1"/>
      <c r="B150" s="1">
        <v>13</v>
      </c>
      <c r="C150" s="1">
        <v>38</v>
      </c>
      <c r="D150" s="1">
        <v>57</v>
      </c>
      <c r="E150" s="1"/>
    </row>
    <row r="151" spans="1:5" x14ac:dyDescent="0.25">
      <c r="A151" s="1">
        <v>8</v>
      </c>
      <c r="B151" s="1">
        <v>14</v>
      </c>
      <c r="C151" s="1">
        <v>44</v>
      </c>
      <c r="D151" s="1">
        <v>66</v>
      </c>
      <c r="E151" s="36">
        <v>1</v>
      </c>
    </row>
    <row r="152" spans="1:5" x14ac:dyDescent="0.25">
      <c r="A152" s="1">
        <v>9</v>
      </c>
      <c r="B152" s="1">
        <v>15</v>
      </c>
      <c r="C152" s="1">
        <v>48</v>
      </c>
      <c r="D152" s="1">
        <v>71</v>
      </c>
      <c r="E152" s="36">
        <v>1</v>
      </c>
    </row>
    <row r="154" spans="1:5" x14ac:dyDescent="0.25">
      <c r="A154" t="s">
        <v>154</v>
      </c>
      <c r="E154">
        <f>E135-E136</f>
        <v>-191278.51153846152</v>
      </c>
    </row>
    <row r="155" spans="1:5" x14ac:dyDescent="0.25">
      <c r="A155" t="s">
        <v>155</v>
      </c>
      <c r="E155">
        <f>E154/(9-2)</f>
        <v>-27325.501648351645</v>
      </c>
    </row>
    <row r="156" spans="1:5" x14ac:dyDescent="0.25">
      <c r="A156" t="s">
        <v>157</v>
      </c>
      <c r="E156">
        <f>E136/(A19-9)</f>
        <v>23.541666666666668</v>
      </c>
    </row>
    <row r="157" spans="1:5" x14ac:dyDescent="0.25">
      <c r="A157" t="s">
        <v>158</v>
      </c>
      <c r="E157">
        <f>E155/E156</f>
        <v>-1160.7292735582998</v>
      </c>
    </row>
    <row r="158" spans="1:5" x14ac:dyDescent="0.25">
      <c r="A158" t="s">
        <v>159</v>
      </c>
    </row>
    <row r="159" spans="1:5" x14ac:dyDescent="0.25">
      <c r="A159" t="s">
        <v>160</v>
      </c>
      <c r="B159" t="s">
        <v>161</v>
      </c>
    </row>
    <row r="160" spans="1:5" x14ac:dyDescent="0.25">
      <c r="B160" t="s">
        <v>162</v>
      </c>
      <c r="E160">
        <v>4.21</v>
      </c>
    </row>
    <row r="161" spans="1:5" x14ac:dyDescent="0.25">
      <c r="A161" t="s">
        <v>163</v>
      </c>
      <c r="C161" s="5">
        <f>E157</f>
        <v>-1160.7292735582998</v>
      </c>
      <c r="D161" s="8" t="s">
        <v>164</v>
      </c>
      <c r="E161" s="18">
        <f>E160</f>
        <v>4.21</v>
      </c>
    </row>
    <row r="162" spans="1:5" x14ac:dyDescent="0.25">
      <c r="A162" t="s">
        <v>165</v>
      </c>
    </row>
  </sheetData>
  <sortState ref="C138:D152">
    <sortCondition ref="C138"/>
  </sortState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Mean dan Modus</vt:lpstr>
      <vt:lpstr>Median_Kuartil_SD</vt:lpstr>
      <vt:lpstr>Homogen_Normalitas_Linear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barama</cp:lastModifiedBy>
  <dcterms:created xsi:type="dcterms:W3CDTF">2018-03-10T22:19:36Z</dcterms:created>
  <dcterms:modified xsi:type="dcterms:W3CDTF">2018-03-26T12:25:15Z</dcterms:modified>
</cp:coreProperties>
</file>